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290" activeTab="0"/>
  </bookViews>
  <sheets>
    <sheet name="Stavební rozpočet" sheetId="1" r:id="rId1"/>
    <sheet name="Rozpočet - vybrané sloupce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<sst xmlns="http://schemas.openxmlformats.org/spreadsheetml/2006/main" count="1077" uniqueCount="315">
  <si>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</si>
  <si>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</si>
  <si>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</si>
  <si>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</si>
  <si>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</si>
  <si>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</si>
  <si>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</si>
  <si>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</si>
  <si>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</si>
  <si>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</si>
  <si>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</si>
  <si>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</si>
  <si>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</si>
  <si>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</si>
  <si>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</si>
  <si>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</si>
  <si>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</si>
  <si>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</si>
  <si>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</si>
  <si>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</si>
  <si>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</si>
  <si>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</si>
  <si>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</si>
  <si>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</si>
  <si>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</si>
  <si>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</si>
  <si>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</si>
  <si>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</si>
  <si>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</si>
  <si>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</si>
  <si>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</si>
  <si>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</si>
  <si>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</si>
  <si>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</si>
  <si>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</si>
  <si>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</si>
  <si>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</si>
  <si>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</si>
  <si>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</si>
  <si>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</si>
  <si>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</si>
  <si>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</si>
  <si>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</si>
  <si>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</si>
  <si>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</si>
  <si>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</si>
  <si>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</si>
  <si>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</si>
  <si>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</si>
  <si>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</si>
  <si>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</si>
  <si>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</si>
  <si>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</si>
  <si>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</si>
  <si>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</si>
  <si>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Poznámka:</t>
  </si>
  <si>
    <t>Objekt</t>
  </si>
  <si>
    <t>Kód</t>
  </si>
  <si>
    <t>0</t>
  </si>
  <si>
    <t>002-RVD</t>
  </si>
  <si>
    <t>003-RVD</t>
  </si>
  <si>
    <t>001-RVDVD</t>
  </si>
  <si>
    <t>113151150R00IM</t>
  </si>
  <si>
    <t>113106231R00IM</t>
  </si>
  <si>
    <t>113108305R00IM</t>
  </si>
  <si>
    <t>113107630R00IM</t>
  </si>
  <si>
    <t>121101101R00IM</t>
  </si>
  <si>
    <t>122201101R00IM</t>
  </si>
  <si>
    <t>167101101R00IM</t>
  </si>
  <si>
    <t>162701105R00IM</t>
  </si>
  <si>
    <t>162701109R00IM</t>
  </si>
  <si>
    <t>213150050RAA</t>
  </si>
  <si>
    <t>56</t>
  </si>
  <si>
    <t>564851111R00IM</t>
  </si>
  <si>
    <t>564871111R00IM</t>
  </si>
  <si>
    <t>565151111R00IM</t>
  </si>
  <si>
    <t>57</t>
  </si>
  <si>
    <t>577131111R00IM</t>
  </si>
  <si>
    <t>59</t>
  </si>
  <si>
    <t>596215021R00IM</t>
  </si>
  <si>
    <t>59245267</t>
  </si>
  <si>
    <t>59245308</t>
  </si>
  <si>
    <t>596215040R00IM</t>
  </si>
  <si>
    <t>592452655</t>
  </si>
  <si>
    <t>597092211R00IM</t>
  </si>
  <si>
    <t>89</t>
  </si>
  <si>
    <t>895941311RT2IM</t>
  </si>
  <si>
    <t>895931111R00IM</t>
  </si>
  <si>
    <t>55340371</t>
  </si>
  <si>
    <t>91</t>
  </si>
  <si>
    <t>919735113R00IM</t>
  </si>
  <si>
    <t>919441211R00IM</t>
  </si>
  <si>
    <t>917862111R00IM</t>
  </si>
  <si>
    <t>59217487</t>
  </si>
  <si>
    <t>59217488</t>
  </si>
  <si>
    <t>59217492</t>
  </si>
  <si>
    <t>59217490</t>
  </si>
  <si>
    <t>916561111R00IM</t>
  </si>
  <si>
    <t>592174231</t>
  </si>
  <si>
    <t>914001121R00IM</t>
  </si>
  <si>
    <t>40445137.A</t>
  </si>
  <si>
    <t>915721111R00IM</t>
  </si>
  <si>
    <t>910-RVD</t>
  </si>
  <si>
    <t>911-RVD</t>
  </si>
  <si>
    <t>H22</t>
  </si>
  <si>
    <t>998223011R00IM</t>
  </si>
  <si>
    <t>S</t>
  </si>
  <si>
    <t>979093111R00IM</t>
  </si>
  <si>
    <t>979087212R00IM</t>
  </si>
  <si>
    <t>979083117R00IM</t>
  </si>
  <si>
    <t>979083191R00IM</t>
  </si>
  <si>
    <t>979990103R00IM</t>
  </si>
  <si>
    <t>979990112R00IM</t>
  </si>
  <si>
    <t>Zkrácený popis</t>
  </si>
  <si>
    <t>Rozměry</t>
  </si>
  <si>
    <t>0 Všeoonstrukce a práce</t>
  </si>
  <si>
    <t>Dokumentace skutečného provedení</t>
  </si>
  <si>
    <t>Geodetické zaměření</t>
  </si>
  <si>
    <t>Dopravní opatření po dobu výstavby</t>
  </si>
  <si>
    <t>Přípravné a přidružené práce</t>
  </si>
  <si>
    <t>Fréz.živič.krytu pl.do 500 m2,pruh do 75cm,tl.15cm</t>
  </si>
  <si>
    <t>Rozebrání dlažeb ze zámkové dlažby v kamenivu</t>
  </si>
  <si>
    <t>Odstranění asfaltové vrstvy pl.do 50 m2, tl. 5 cm</t>
  </si>
  <si>
    <t>Odstranění podkladu nad 50 m2,kam.drcené tl.30 cm</t>
  </si>
  <si>
    <t>Odkopávky a prokopávky</t>
  </si>
  <si>
    <t>Sejmutí ornice s přemístěním do 50 m</t>
  </si>
  <si>
    <t>Odkopávky nezapažené v hor. 3 do 100 m3</t>
  </si>
  <si>
    <t>Přemístění výkopku</t>
  </si>
  <si>
    <t>Nakládání výkopku z hor.1-4 v množství do 100 m3</t>
  </si>
  <si>
    <t>Vodorovné přemístění výkopku z hor.1-4 do 10000 m</t>
  </si>
  <si>
    <t>Příplatek k vod. přemístění hor.1-4 za další 1 km</t>
  </si>
  <si>
    <t>Úprava podloží a základové spáry</t>
  </si>
  <si>
    <t>Vsakovací nádrž pro odvodnění asfaltového povrchu</t>
  </si>
  <si>
    <t>Podkladní vrstvy komunikací, letišť a ploch</t>
  </si>
  <si>
    <t>Podklad ze štěrkodrti po zhutnění tloušťky 15 cm</t>
  </si>
  <si>
    <t>Podklad ze štěrkodrti po zhutnění tloušťky 25 cm</t>
  </si>
  <si>
    <t>Podklad z obal kam.ACP 16+,ACP 22+,do 3 m,tl. 7 cm</t>
  </si>
  <si>
    <t>Kryty pozemních komunikací, letišť a ploch z kameniva nebo živičné</t>
  </si>
  <si>
    <t>Beton asfalt. ACO 11+ obrusný, š. do 3 m, tl. 4 cm</t>
  </si>
  <si>
    <t>Kryty pozemních komunikací, letišť a ploch dlážděných (předlažby)</t>
  </si>
  <si>
    <t>Kladení zámkové dlažby tl. 6 cm do drtě tl. 4 cm</t>
  </si>
  <si>
    <t>Dlažba BEST KLASIKO červená pro nevidomé 20x10x6</t>
  </si>
  <si>
    <t>Dlažba BEST KLASIKO přírodní  20x10x6</t>
  </si>
  <si>
    <t>Kladení zámkové dlažby tl. 8 cm do drtě tl. 4 cm</t>
  </si>
  <si>
    <t>Dlažba BEST KLASIKO přírodní 20x10x8</t>
  </si>
  <si>
    <t>Žlab odvodňovací ACO V 150 S, dl.1000 mm,A15,B125</t>
  </si>
  <si>
    <t>Ostatní konstrukce a práce na trubním vedení</t>
  </si>
  <si>
    <t>Zřízení vpusti uliční z dílců typ UVB - 50</t>
  </si>
  <si>
    <t>Vpusti kanal. horské z betonu C 12/15,vel.1200/600</t>
  </si>
  <si>
    <t>Mříž s rámem na horskou vpust B125, 1400/730/120</t>
  </si>
  <si>
    <t>Doplňující konstrukce a práce na pozemních komunikacích a zpevněných plochách</t>
  </si>
  <si>
    <t>Řezání stávajícího živičného krytu tl. 10 - 15 cm</t>
  </si>
  <si>
    <t>Vyústění vpusti z lom. kamene</t>
  </si>
  <si>
    <t>Osazení stojat. obrub.bet. s opěrou,lože z C 12/15</t>
  </si>
  <si>
    <t>Obrubník silniční ABO 1-15 1000/150/300</t>
  </si>
  <si>
    <t>Obrubník silniční ABO 2-15 1000/150/250</t>
  </si>
  <si>
    <t>Obrubník silniční přechodový levý ABO 2-15 PL</t>
  </si>
  <si>
    <t>Obrubník silniční nájezdový ABO 2-15 N</t>
  </si>
  <si>
    <t>Osazení záhon.obrubníků do lože z C 12/15 s opěrou</t>
  </si>
  <si>
    <t>Obrubník ABO 8-25-P 500/80/250</t>
  </si>
  <si>
    <t>Osaz.svislé dopr.značky a sloupku,Al patka, základ</t>
  </si>
  <si>
    <t>Značka dopravní info IJ 4b, 500 fólie 1, EG 7 letá</t>
  </si>
  <si>
    <t>Přemístění.svislé dopr.značky a sloupku,Al patka, základ</t>
  </si>
  <si>
    <t>Vodorovné značení střík.barvou stopčar,zeber atd.</t>
  </si>
  <si>
    <t>Otevřený autobusový přístřešek 4000x1500x2115</t>
  </si>
  <si>
    <t>Přemístěni autobusového přístřešeku</t>
  </si>
  <si>
    <t>Přesun hmot, pozemní komunikace, kryt dlážděný</t>
  </si>
  <si>
    <t>Přesuny sutí</t>
  </si>
  <si>
    <t>Uložení suti na skládku bez zhutnění</t>
  </si>
  <si>
    <t>Nakládání suti na dopravní prostředky - komunikace</t>
  </si>
  <si>
    <t>Vodorovné přemístění suti na skládku do 6000 m</t>
  </si>
  <si>
    <t>Příplatek za dalších započatých 1000 m nad 6000 m</t>
  </si>
  <si>
    <t>Poplatek za skládku suti - směs do 30x30 cm</t>
  </si>
  <si>
    <t>Poplatek za skládku suti-obal.kam.-asfalt do 30x30</t>
  </si>
  <si>
    <t>Doba výstavby:</t>
  </si>
  <si>
    <t>Začátek výstavby:</t>
  </si>
  <si>
    <t>Konec výstavby:</t>
  </si>
  <si>
    <t>Zpracováno dne:</t>
  </si>
  <si>
    <t>MJ</t>
  </si>
  <si>
    <t>kpl</t>
  </si>
  <si>
    <t>m2</t>
  </si>
  <si>
    <t>m3</t>
  </si>
  <si>
    <t>soubor</t>
  </si>
  <si>
    <t>kus</t>
  </si>
  <si>
    <t>m</t>
  </si>
  <si>
    <t>ks</t>
  </si>
  <si>
    <t>t</t>
  </si>
  <si>
    <t>Množství</t>
  </si>
  <si>
    <t>10.03.2021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</si>
  <si>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</si>
  <si>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</si>
  <si>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</si>
  <si>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</si>
  <si>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</si>
  <si>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</si>
  <si>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</si>
  <si>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</si>
  <si>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</si>
  <si>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</si>
  <si>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</si>
  <si>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</si>
  <si>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</si>
  <si>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</si>
  <si>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</si>
  <si>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</si>
  <si>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 / 2020</t>
  </si>
  <si>
    <t>RTS II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</si>
  <si>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</si>
  <si>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</si>
  <si>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</si>
  <si>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</si>
  <si>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</si>
  <si>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</si>
  <si>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</si>
  <si>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</si>
  <si>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</si>
  <si>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</si>
  <si>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</si>
  <si>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</si>
  <si>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16_</t>
  </si>
  <si>
    <t>21_</t>
  </si>
  <si>
    <t>56_</t>
  </si>
  <si>
    <t>57_</t>
  </si>
  <si>
    <t>59_</t>
  </si>
  <si>
    <t>89_</t>
  </si>
  <si>
    <t>91_</t>
  </si>
  <si>
    <t>H22_</t>
  </si>
  <si>
    <t>S_</t>
  </si>
  <si>
    <t>1_</t>
  </si>
  <si>
    <t>2_</t>
  </si>
  <si>
    <t>5_</t>
  </si>
  <si>
    <t>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</si>
  <si>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</si>
  <si>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</si>
  <si>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</si>
  <si>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</si>
  <si>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</si>
  <si>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</si>
  <si>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</si>
  <si>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</si>
  <si>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</si>
  <si>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Jednotková cena (Kč)</t>
  </si>
  <si>
    <t>Náklady celkem (Kč)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</si>
  <si>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</si>
  <si>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</si>
  <si>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</si>
  <si>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</si>
  <si>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</si>
  <si>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</si>
  <si>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</si>
  <si>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</si>
  <si>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</si>
  <si>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</si>
  <si>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</si>
  <si>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</si>
  <si>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</si>
  <si>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</si>
  <si>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</si>
  <si>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</si>
  <si>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</si>
  <si>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</si>
  <si>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</si>
  <si>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</si>
  <si>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</si>
  <si>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</si>
  <si>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</si>
  <si>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</si>
  <si>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</si>
  <si>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</si>
  <si>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</si>
  <si>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</si>
  <si>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</si>
  <si>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</si>
  <si>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</si>
  <si>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</si>
  <si>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</si>
  <si>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</si>
  <si>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</si>
  <si>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</si>
  <si>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</si>
  <si>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</si>
  <si>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</si>
  <si>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</si>
  <si>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</si>
  <si>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</si>
  <si>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</si>
  <si>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</si>
  <si>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132201110R00</t>
  </si>
  <si>
    <t>Hloubení rýh š.do 60 cm v hor.3 do 50 m3, STROJNĚ</t>
  </si>
  <si>
    <t>RTS I / 2019</t>
  </si>
  <si>
    <t>199000002R00</t>
  </si>
  <si>
    <t>Poplatek za skládku horniny 1- 4</t>
  </si>
  <si>
    <t>912-RVD</t>
  </si>
  <si>
    <t>913-RVD</t>
  </si>
  <si>
    <t>914-RVD</t>
  </si>
  <si>
    <t>915-RVD</t>
  </si>
  <si>
    <t>Demontáž plotových výplní</t>
  </si>
  <si>
    <t>Montáž plotových výplní - stávající</t>
  </si>
  <si>
    <t>Nastavení podezdívky plotu -1 řada ZB š.30cm vč.betonáže a kotvení k pův.plotu- agregovaná položka</t>
  </si>
  <si>
    <t xml:space="preserve">Opěrná zídka ze ztraceného bednění š.20 cm vysoká 1 m a základ hloubky 0,5 m, armování 5x 8mm/1bm </t>
  </si>
  <si>
    <t>49</t>
  </si>
  <si>
    <t>50</t>
  </si>
  <si>
    <t>51</t>
  </si>
  <si>
    <t>52</t>
  </si>
  <si>
    <t>53</t>
  </si>
  <si>
    <t>54</t>
  </si>
  <si>
    <t>Poplatek za skládku horniny 1-4</t>
  </si>
  <si>
    <t>Montáž plotových výplní-stávající</t>
  </si>
  <si>
    <t>Nastavení podezdívky ploty-1 řada ZB š.30cm vč.betonáže a kotvení k pův.plotu-agregovaná položka</t>
  </si>
  <si>
    <t>Opěrná zídka ze ztraceného bednění š.20cm vysoká 1 m a základ hloubky 0,5 m, armování 5x 8mm/1bm</t>
  </si>
  <si>
    <t>obec Cebiv</t>
  </si>
  <si>
    <t>Ing.Kinkal Antonín</t>
  </si>
  <si>
    <t>dopravní a technická infrastruktura</t>
  </si>
  <si>
    <t>Bezbariérové a bezpečné propojení obce pro pěší</t>
  </si>
  <si>
    <t>p.Kubešová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</si>
</sst>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  <numFmt numFmtId="168" formatCode="#,##0.00000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8" fillId="33" borderId="17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8" fillId="33" borderId="26" xfId="0" applyNumberFormat="1" applyFont="1" applyFill="1" applyBorder="1" applyAlignment="1" applyProtection="1">
      <alignment horizontal="right" vertical="center"/>
      <protection/>
    </xf>
    <xf numFmtId="49" fontId="5" fillId="0" borderId="27" xfId="0" applyNumberFormat="1" applyFont="1" applyFill="1" applyBorder="1" applyAlignment="1" applyProtection="1">
      <alignment horizontal="right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6" fillId="0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7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" fontId="3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3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10" fillId="35" borderId="31" xfId="0" applyNumberFormat="1" applyFont="1" applyFill="1" applyBorder="1" applyAlignment="1" applyProtection="1">
      <alignment horizontal="center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2" fillId="0" borderId="31" xfId="0" applyNumberFormat="1" applyFont="1" applyFill="1" applyBorder="1" applyAlignment="1" applyProtection="1">
      <alignment horizontal="right" vertical="center"/>
      <protection/>
    </xf>
    <xf numFmtId="49" fontId="12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1" fillId="35" borderId="37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4" fillId="0" borderId="0" xfId="47" applyNumberFormat="1" applyFont="1" applyBorder="1" applyAlignment="1">
      <alignment vertical="top"/>
      <protection/>
    </xf>
    <xf numFmtId="49" fontId="14" fillId="0" borderId="0" xfId="47" applyNumberFormat="1" applyFont="1" applyBorder="1" applyAlignment="1">
      <alignment horizontal="left" vertical="top" wrapText="1"/>
      <protection/>
    </xf>
    <xf numFmtId="0" fontId="14" fillId="0" borderId="0" xfId="47" applyFont="1" applyBorder="1" applyAlignment="1">
      <alignment horizontal="left" vertical="top" shrinkToFit="1"/>
      <protection/>
    </xf>
    <xf numFmtId="0" fontId="1" fillId="0" borderId="0" xfId="0" applyFont="1" applyBorder="1" applyAlignment="1">
      <alignment vertical="center"/>
    </xf>
    <xf numFmtId="49" fontId="14" fillId="0" borderId="0" xfId="49" applyNumberFormat="1" applyFont="1" applyBorder="1" applyAlignment="1">
      <alignment vertical="top"/>
      <protection/>
    </xf>
    <xf numFmtId="49" fontId="14" fillId="0" borderId="0" xfId="49" applyNumberFormat="1" applyFont="1" applyBorder="1" applyAlignment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49" fontId="14" fillId="0" borderId="0" xfId="47" applyNumberFormat="1" applyFont="1" applyAlignment="1">
      <alignment vertical="top"/>
      <protection/>
    </xf>
    <xf numFmtId="49" fontId="14" fillId="0" borderId="0" xfId="49" applyNumberFormat="1" applyAlignment="1">
      <alignment vertical="top"/>
      <protection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5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1" fillId="35" borderId="48" xfId="0" applyNumberFormat="1" applyFont="1" applyFill="1" applyBorder="1" applyAlignment="1" applyProtection="1">
      <alignment horizontal="left" vertical="center"/>
      <protection/>
    </xf>
    <xf numFmtId="0" fontId="11" fillId="35" borderId="49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17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48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49" fontId="3" fillId="33" borderId="13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 5" xfId="48"/>
    <cellStyle name="Normální 6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69" sqref="A69:M69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8.281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ht="12.75">
      <c r="A2" s="115" t="s">
        <v>1</v>
      </c>
      <c r="B2" s="116"/>
      <c r="C2" s="116"/>
      <c r="D2" s="117" t="s">
        <v>313</v>
      </c>
      <c r="E2" s="119" t="s">
        <v>174</v>
      </c>
      <c r="F2" s="116"/>
      <c r="G2" s="119" t="s">
        <v>6</v>
      </c>
      <c r="H2" s="120" t="s">
        <v>191</v>
      </c>
      <c r="I2" s="119" t="s">
        <v>310</v>
      </c>
      <c r="J2" s="116"/>
      <c r="K2" s="116"/>
      <c r="L2" s="116"/>
      <c r="M2" s="121"/>
      <c r="N2" s="37"/>
    </row>
    <row r="3" spans="1:14" ht="12.75">
      <c r="A3" s="112"/>
      <c r="B3" s="105"/>
      <c r="C3" s="105"/>
      <c r="D3" s="118"/>
      <c r="E3" s="105"/>
      <c r="F3" s="105"/>
      <c r="G3" s="105"/>
      <c r="H3" s="105"/>
      <c r="I3" s="105"/>
      <c r="J3" s="105"/>
      <c r="K3" s="105"/>
      <c r="L3" s="105"/>
      <c r="M3" s="110"/>
      <c r="N3" s="37"/>
    </row>
    <row r="4" spans="1:14" ht="12.75">
      <c r="A4" s="106" t="s">
        <v>2</v>
      </c>
      <c r="B4" s="105"/>
      <c r="C4" s="105"/>
      <c r="D4" s="104" t="s">
        <v>312</v>
      </c>
      <c r="E4" s="109" t="s">
        <v>175</v>
      </c>
      <c r="F4" s="105"/>
      <c r="G4" s="109" t="s">
        <v>188</v>
      </c>
      <c r="H4" s="104" t="s">
        <v>192</v>
      </c>
      <c r="I4" s="109" t="s">
        <v>311</v>
      </c>
      <c r="J4" s="105"/>
      <c r="K4" s="105"/>
      <c r="L4" s="105"/>
      <c r="M4" s="110"/>
      <c r="N4" s="37"/>
    </row>
    <row r="5" spans="1:14" ht="12.75">
      <c r="A5" s="11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10"/>
      <c r="N5" s="37"/>
    </row>
    <row r="6" spans="1:14" ht="12.75">
      <c r="A6" s="106" t="s">
        <v>3</v>
      </c>
      <c r="B6" s="105"/>
      <c r="C6" s="105"/>
      <c r="D6" s="104" t="s">
        <v>310</v>
      </c>
      <c r="E6" s="109" t="s">
        <v>176</v>
      </c>
      <c r="F6" s="105"/>
      <c r="G6" s="109" t="s">
        <v>6</v>
      </c>
      <c r="H6" s="104" t="s">
        <v>193</v>
      </c>
      <c r="I6" s="109" t="s">
        <v>198</v>
      </c>
      <c r="J6" s="105"/>
      <c r="K6" s="105"/>
      <c r="L6" s="105"/>
      <c r="M6" s="110"/>
      <c r="N6" s="37"/>
    </row>
    <row r="7" spans="1:14" ht="12.75">
      <c r="A7" s="112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10"/>
      <c r="N7" s="37"/>
    </row>
    <row r="8" spans="1:14" ht="12.75">
      <c r="A8" s="106" t="s">
        <v>4</v>
      </c>
      <c r="B8" s="105"/>
      <c r="C8" s="105"/>
      <c r="D8" s="104" t="s">
        <v>6</v>
      </c>
      <c r="E8" s="109" t="s">
        <v>177</v>
      </c>
      <c r="F8" s="105"/>
      <c r="G8" s="109" t="s">
        <v>188</v>
      </c>
      <c r="H8" s="104" t="s">
        <v>194</v>
      </c>
      <c r="I8" s="109" t="s">
        <v>314</v>
      </c>
      <c r="J8" s="105"/>
      <c r="K8" s="105"/>
      <c r="L8" s="105"/>
      <c r="M8" s="110"/>
      <c r="N8" s="37"/>
    </row>
    <row r="9" spans="1:14" ht="12.7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11"/>
      <c r="N9" s="37"/>
    </row>
    <row r="10" spans="1:64" ht="12.75">
      <c r="A10" s="1" t="s">
        <v>5</v>
      </c>
      <c r="B10" s="9" t="s">
        <v>56</v>
      </c>
      <c r="C10" s="9" t="s">
        <v>57</v>
      </c>
      <c r="D10" s="9" t="s">
        <v>113</v>
      </c>
      <c r="E10" s="9" t="s">
        <v>178</v>
      </c>
      <c r="F10" s="19" t="s">
        <v>187</v>
      </c>
      <c r="G10" s="23" t="s">
        <v>189</v>
      </c>
      <c r="H10" s="99" t="s">
        <v>195</v>
      </c>
      <c r="I10" s="100"/>
      <c r="J10" s="101"/>
      <c r="K10" s="99" t="s">
        <v>201</v>
      </c>
      <c r="L10" s="101"/>
      <c r="M10" s="30" t="s">
        <v>203</v>
      </c>
      <c r="N10" s="38"/>
      <c r="BK10" s="29" t="s">
        <v>237</v>
      </c>
      <c r="BL10" s="43" t="s">
        <v>240</v>
      </c>
    </row>
    <row r="11" spans="1:62" ht="12.75">
      <c r="A11" s="2" t="s">
        <v>6</v>
      </c>
      <c r="B11" s="10" t="s">
        <v>6</v>
      </c>
      <c r="C11" s="10" t="s">
        <v>6</v>
      </c>
      <c r="D11" s="16" t="s">
        <v>114</v>
      </c>
      <c r="E11" s="10" t="s">
        <v>6</v>
      </c>
      <c r="F11" s="10" t="s">
        <v>6</v>
      </c>
      <c r="G11" s="24" t="s">
        <v>190</v>
      </c>
      <c r="H11" s="25" t="s">
        <v>196</v>
      </c>
      <c r="I11" s="26" t="s">
        <v>199</v>
      </c>
      <c r="J11" s="27" t="s">
        <v>200</v>
      </c>
      <c r="K11" s="25" t="s">
        <v>202</v>
      </c>
      <c r="L11" s="27" t="s">
        <v>200</v>
      </c>
      <c r="M11" s="31" t="s">
        <v>204</v>
      </c>
      <c r="N11" s="38"/>
      <c r="Z11" s="29" t="s">
        <v>207</v>
      </c>
      <c r="AA11" s="29" t="s">
        <v>208</v>
      </c>
      <c r="AB11" s="29" t="s">
        <v>209</v>
      </c>
      <c r="AC11" s="29" t="s">
        <v>210</v>
      </c>
      <c r="AD11" s="29" t="s">
        <v>211</v>
      </c>
      <c r="AE11" s="29" t="s">
        <v>212</v>
      </c>
      <c r="AF11" s="29" t="s">
        <v>213</v>
      </c>
      <c r="AG11" s="29" t="s">
        <v>214</v>
      </c>
      <c r="AH11" s="29" t="s">
        <v>215</v>
      </c>
      <c r="BH11" s="29" t="s">
        <v>234</v>
      </c>
      <c r="BI11" s="29" t="s">
        <v>235</v>
      </c>
      <c r="BJ11" s="29" t="s">
        <v>236</v>
      </c>
    </row>
    <row r="12" spans="1:47" ht="12.75">
      <c r="A12" s="3"/>
      <c r="B12" s="11"/>
      <c r="C12" s="11" t="s">
        <v>58</v>
      </c>
      <c r="D12" s="11" t="s">
        <v>115</v>
      </c>
      <c r="E12" s="17" t="s">
        <v>6</v>
      </c>
      <c r="F12" s="17" t="s">
        <v>6</v>
      </c>
      <c r="G12" s="17" t="s">
        <v>6</v>
      </c>
      <c r="H12" s="44"/>
      <c r="I12" s="44"/>
      <c r="J12" s="44"/>
      <c r="K12" s="28"/>
      <c r="L12" s="44">
        <f>SUM(L13:L15)</f>
        <v>0</v>
      </c>
      <c r="M12" s="32"/>
      <c r="N12" s="37"/>
      <c r="AI12" s="29"/>
      <c r="AS12" s="45">
        <f>SUM(AJ13:AJ15)</f>
        <v>0</v>
      </c>
      <c r="AT12" s="45">
        <f>SUM(AK13:AK15)</f>
        <v>0</v>
      </c>
      <c r="AU12" s="45">
        <f>SUM(AL13:AL15)</f>
        <v>0</v>
      </c>
    </row>
    <row r="13" spans="1:64" ht="12.75">
      <c r="A13" s="4" t="s">
        <v>7</v>
      </c>
      <c r="B13" s="12"/>
      <c r="C13" s="12" t="s">
        <v>59</v>
      </c>
      <c r="D13" s="12" t="s">
        <v>116</v>
      </c>
      <c r="E13" s="12" t="s">
        <v>179</v>
      </c>
      <c r="F13" s="20">
        <v>1</v>
      </c>
      <c r="G13" s="20"/>
      <c r="H13" s="20"/>
      <c r="I13" s="20"/>
      <c r="J13" s="20"/>
      <c r="K13" s="20">
        <v>0</v>
      </c>
      <c r="L13" s="20">
        <f>F13*K13</f>
        <v>0</v>
      </c>
      <c r="M13" s="33" t="s">
        <v>205</v>
      </c>
      <c r="N13" s="37"/>
      <c r="Z13" s="39">
        <f>IF(AQ13="5",BJ13,0)</f>
        <v>0</v>
      </c>
      <c r="AB13" s="39">
        <f>IF(AQ13="1",BH13,0)</f>
        <v>0</v>
      </c>
      <c r="AC13" s="39">
        <f>IF(AQ13="1",BI13,0)</f>
        <v>0</v>
      </c>
      <c r="AD13" s="39">
        <f>IF(AQ13="7",BH13,0)</f>
        <v>0</v>
      </c>
      <c r="AE13" s="39">
        <f>IF(AQ13="7",BI13,0)</f>
        <v>0</v>
      </c>
      <c r="AF13" s="39">
        <f>IF(AQ13="2",BH13,0)</f>
        <v>0</v>
      </c>
      <c r="AG13" s="39">
        <f>IF(AQ13="2",BI13,0)</f>
        <v>0</v>
      </c>
      <c r="AH13" s="39">
        <f>IF(AQ13="0",BJ13,0)</f>
        <v>0</v>
      </c>
      <c r="AI13" s="29"/>
      <c r="AJ13" s="20">
        <f>IF(AN13=0,J13,0)</f>
        <v>0</v>
      </c>
      <c r="AK13" s="20">
        <f>IF(AN13=15,J13,0)</f>
        <v>0</v>
      </c>
      <c r="AL13" s="20">
        <f>IF(AN13=21,J13,0)</f>
        <v>0</v>
      </c>
      <c r="AN13" s="39">
        <v>15</v>
      </c>
      <c r="AO13" s="39">
        <f>G13*0</f>
        <v>0</v>
      </c>
      <c r="AP13" s="39">
        <f>G13*(1-0)</f>
        <v>0</v>
      </c>
      <c r="AQ13" s="40" t="s">
        <v>7</v>
      </c>
      <c r="AV13" s="39">
        <f>AW13+AX13</f>
        <v>0</v>
      </c>
      <c r="AW13" s="39">
        <f>F13*AO13</f>
        <v>0</v>
      </c>
      <c r="AX13" s="39">
        <f>F13*AP13</f>
        <v>0</v>
      </c>
      <c r="AY13" s="42" t="s">
        <v>216</v>
      </c>
      <c r="AZ13" s="42" t="s">
        <v>216</v>
      </c>
      <c r="BA13" s="29" t="s">
        <v>233</v>
      </c>
      <c r="BC13" s="39">
        <f>AW13+AX13</f>
        <v>0</v>
      </c>
      <c r="BD13" s="39">
        <f>G13/(100-BE13)*100</f>
        <v>0</v>
      </c>
      <c r="BE13" s="39">
        <v>0</v>
      </c>
      <c r="BF13" s="39">
        <f>L13</f>
        <v>0</v>
      </c>
      <c r="BH13" s="20">
        <f>F13*AO13</f>
        <v>0</v>
      </c>
      <c r="BI13" s="20">
        <f>F13*AP13</f>
        <v>0</v>
      </c>
      <c r="BJ13" s="20">
        <f>F13*G13</f>
        <v>0</v>
      </c>
      <c r="BK13" s="20" t="s">
        <v>238</v>
      </c>
      <c r="BL13" s="39">
        <v>0</v>
      </c>
    </row>
    <row r="14" spans="1:64" ht="12.75">
      <c r="A14" s="4" t="s">
        <v>8</v>
      </c>
      <c r="B14" s="12"/>
      <c r="C14" s="12" t="s">
        <v>60</v>
      </c>
      <c r="D14" s="12" t="s">
        <v>117</v>
      </c>
      <c r="E14" s="12" t="s">
        <v>179</v>
      </c>
      <c r="F14" s="20">
        <v>1</v>
      </c>
      <c r="G14" s="20"/>
      <c r="H14" s="20"/>
      <c r="I14" s="20"/>
      <c r="J14" s="20"/>
      <c r="K14" s="20">
        <v>0</v>
      </c>
      <c r="L14" s="20">
        <f>F14*K14</f>
        <v>0</v>
      </c>
      <c r="M14" s="33" t="s">
        <v>205</v>
      </c>
      <c r="N14" s="37"/>
      <c r="Z14" s="39">
        <f>IF(AQ14="5",BJ14,0)</f>
        <v>0</v>
      </c>
      <c r="AB14" s="39">
        <f>IF(AQ14="1",BH14,0)</f>
        <v>0</v>
      </c>
      <c r="AC14" s="39">
        <f>IF(AQ14="1",BI14,0)</f>
        <v>0</v>
      </c>
      <c r="AD14" s="39">
        <f>IF(AQ14="7",BH14,0)</f>
        <v>0</v>
      </c>
      <c r="AE14" s="39">
        <f>IF(AQ14="7",BI14,0)</f>
        <v>0</v>
      </c>
      <c r="AF14" s="39">
        <f>IF(AQ14="2",BH14,0)</f>
        <v>0</v>
      </c>
      <c r="AG14" s="39">
        <f>IF(AQ14="2",BI14,0)</f>
        <v>0</v>
      </c>
      <c r="AH14" s="39">
        <f>IF(AQ14="0",BJ14,0)</f>
        <v>0</v>
      </c>
      <c r="AI14" s="29"/>
      <c r="AJ14" s="20">
        <f>IF(AN14=0,J14,0)</f>
        <v>0</v>
      </c>
      <c r="AK14" s="20">
        <f>IF(AN14=15,J14,0)</f>
        <v>0</v>
      </c>
      <c r="AL14" s="20">
        <f>IF(AN14=21,J14,0)</f>
        <v>0</v>
      </c>
      <c r="AN14" s="39">
        <v>15</v>
      </c>
      <c r="AO14" s="39">
        <f>G14*0</f>
        <v>0</v>
      </c>
      <c r="AP14" s="39">
        <f>G14*(1-0)</f>
        <v>0</v>
      </c>
      <c r="AQ14" s="40" t="s">
        <v>7</v>
      </c>
      <c r="AV14" s="39">
        <f>AW14+AX14</f>
        <v>0</v>
      </c>
      <c r="AW14" s="39">
        <f>F14*AO14</f>
        <v>0</v>
      </c>
      <c r="AX14" s="39">
        <f>F14*AP14</f>
        <v>0</v>
      </c>
      <c r="AY14" s="42" t="s">
        <v>216</v>
      </c>
      <c r="AZ14" s="42" t="s">
        <v>216</v>
      </c>
      <c r="BA14" s="29" t="s">
        <v>233</v>
      </c>
      <c r="BC14" s="39">
        <f>AW14+AX14</f>
        <v>0</v>
      </c>
      <c r="BD14" s="39">
        <f>G14/(100-BE14)*100</f>
        <v>0</v>
      </c>
      <c r="BE14" s="39">
        <v>0</v>
      </c>
      <c r="BF14" s="39">
        <f>L14</f>
        <v>0</v>
      </c>
      <c r="BH14" s="20">
        <f>F14*AO14</f>
        <v>0</v>
      </c>
      <c r="BI14" s="20">
        <f>F14*AP14</f>
        <v>0</v>
      </c>
      <c r="BJ14" s="20">
        <f>F14*G14</f>
        <v>0</v>
      </c>
      <c r="BK14" s="20" t="s">
        <v>238</v>
      </c>
      <c r="BL14" s="39">
        <v>0</v>
      </c>
    </row>
    <row r="15" spans="1:64" ht="12.75">
      <c r="A15" s="4" t="s">
        <v>9</v>
      </c>
      <c r="B15" s="12"/>
      <c r="C15" s="12" t="s">
        <v>61</v>
      </c>
      <c r="D15" s="12" t="s">
        <v>118</v>
      </c>
      <c r="E15" s="12" t="s">
        <v>179</v>
      </c>
      <c r="F15" s="20">
        <v>1</v>
      </c>
      <c r="G15" s="20"/>
      <c r="H15" s="20"/>
      <c r="I15" s="20"/>
      <c r="J15" s="20"/>
      <c r="K15" s="20">
        <v>0</v>
      </c>
      <c r="L15" s="20">
        <f>F15*K15</f>
        <v>0</v>
      </c>
      <c r="M15" s="33"/>
      <c r="N15" s="37"/>
      <c r="Z15" s="39">
        <f>IF(AQ15="5",BJ15,0)</f>
        <v>0</v>
      </c>
      <c r="AB15" s="39">
        <f>IF(AQ15="1",BH15,0)</f>
        <v>0</v>
      </c>
      <c r="AC15" s="39">
        <f>IF(AQ15="1",BI15,0)</f>
        <v>0</v>
      </c>
      <c r="AD15" s="39">
        <f>IF(AQ15="7",BH15,0)</f>
        <v>0</v>
      </c>
      <c r="AE15" s="39">
        <f>IF(AQ15="7",BI15,0)</f>
        <v>0</v>
      </c>
      <c r="AF15" s="39">
        <f>IF(AQ15="2",BH15,0)</f>
        <v>0</v>
      </c>
      <c r="AG15" s="39">
        <f>IF(AQ15="2",BI15,0)</f>
        <v>0</v>
      </c>
      <c r="AH15" s="39">
        <f>IF(AQ15="0",BJ15,0)</f>
        <v>0</v>
      </c>
      <c r="AI15" s="29"/>
      <c r="AJ15" s="20">
        <f>IF(AN15=0,J15,0)</f>
        <v>0</v>
      </c>
      <c r="AK15" s="20">
        <f>IF(AN15=15,J15,0)</f>
        <v>0</v>
      </c>
      <c r="AL15" s="20">
        <f>IF(AN15=21,J15,0)</f>
        <v>0</v>
      </c>
      <c r="AN15" s="39">
        <v>15</v>
      </c>
      <c r="AO15" s="39">
        <f>G15*0</f>
        <v>0</v>
      </c>
      <c r="AP15" s="39">
        <f>G15*(1-0)</f>
        <v>0</v>
      </c>
      <c r="AQ15" s="40" t="s">
        <v>7</v>
      </c>
      <c r="AV15" s="39">
        <f>AW15+AX15</f>
        <v>0</v>
      </c>
      <c r="AW15" s="39">
        <f>F15*AO15</f>
        <v>0</v>
      </c>
      <c r="AX15" s="39">
        <f>F15*AP15</f>
        <v>0</v>
      </c>
      <c r="AY15" s="42" t="s">
        <v>216</v>
      </c>
      <c r="AZ15" s="42" t="s">
        <v>216</v>
      </c>
      <c r="BA15" s="29" t="s">
        <v>233</v>
      </c>
      <c r="BC15" s="39">
        <f>AW15+AX15</f>
        <v>0</v>
      </c>
      <c r="BD15" s="39">
        <f>G15/(100-BE15)*100</f>
        <v>0</v>
      </c>
      <c r="BE15" s="39">
        <v>0</v>
      </c>
      <c r="BF15" s="39">
        <f>L15</f>
        <v>0</v>
      </c>
      <c r="BH15" s="20">
        <f>F15*AO15</f>
        <v>0</v>
      </c>
      <c r="BI15" s="20">
        <f>F15*AP15</f>
        <v>0</v>
      </c>
      <c r="BJ15" s="20">
        <f>F15*G15</f>
        <v>0</v>
      </c>
      <c r="BK15" s="20" t="s">
        <v>238</v>
      </c>
      <c r="BL15" s="39">
        <v>0</v>
      </c>
    </row>
    <row r="16" spans="1:47" ht="12.75">
      <c r="A16" s="5"/>
      <c r="B16" s="13"/>
      <c r="C16" s="13" t="s">
        <v>17</v>
      </c>
      <c r="D16" s="13" t="s">
        <v>119</v>
      </c>
      <c r="E16" s="18" t="s">
        <v>6</v>
      </c>
      <c r="F16" s="18" t="s">
        <v>6</v>
      </c>
      <c r="G16" s="18"/>
      <c r="H16" s="45"/>
      <c r="I16" s="45"/>
      <c r="J16" s="45"/>
      <c r="K16" s="29"/>
      <c r="L16" s="45">
        <f>SUM(L17:L20)</f>
        <v>166.11899999999997</v>
      </c>
      <c r="M16" s="34"/>
      <c r="N16" s="37"/>
      <c r="AI16" s="29"/>
      <c r="AS16" s="45">
        <f>SUM(AJ17:AJ20)</f>
        <v>0</v>
      </c>
      <c r="AT16" s="45">
        <f>SUM(AK17:AK20)</f>
        <v>0</v>
      </c>
      <c r="AU16" s="45">
        <f>SUM(AL17:AL20)</f>
        <v>0</v>
      </c>
    </row>
    <row r="17" spans="1:64" ht="12.75">
      <c r="A17" s="4" t="s">
        <v>10</v>
      </c>
      <c r="B17" s="12"/>
      <c r="C17" s="12" t="s">
        <v>62</v>
      </c>
      <c r="D17" s="12" t="s">
        <v>120</v>
      </c>
      <c r="E17" s="12" t="s">
        <v>180</v>
      </c>
      <c r="F17" s="20">
        <v>234</v>
      </c>
      <c r="G17" s="20"/>
      <c r="H17" s="20"/>
      <c r="I17" s="20"/>
      <c r="J17" s="20"/>
      <c r="K17" s="20">
        <v>0.33</v>
      </c>
      <c r="L17" s="20">
        <f>F17*K17</f>
        <v>77.22</v>
      </c>
      <c r="M17" s="33" t="s">
        <v>205</v>
      </c>
      <c r="N17" s="37"/>
      <c r="Z17" s="39">
        <f>IF(AQ17="5",BJ17,0)</f>
        <v>0</v>
      </c>
      <c r="AB17" s="39">
        <f>IF(AQ17="1",BH17,0)</f>
        <v>0</v>
      </c>
      <c r="AC17" s="39">
        <f>IF(AQ17="1",BI17,0)</f>
        <v>0</v>
      </c>
      <c r="AD17" s="39">
        <f>IF(AQ17="7",BH17,0)</f>
        <v>0</v>
      </c>
      <c r="AE17" s="39">
        <f>IF(AQ17="7",BI17,0)</f>
        <v>0</v>
      </c>
      <c r="AF17" s="39">
        <f>IF(AQ17="2",BH17,0)</f>
        <v>0</v>
      </c>
      <c r="AG17" s="39">
        <f>IF(AQ17="2",BI17,0)</f>
        <v>0</v>
      </c>
      <c r="AH17" s="39">
        <f>IF(AQ17="0",BJ17,0)</f>
        <v>0</v>
      </c>
      <c r="AI17" s="29"/>
      <c r="AJ17" s="20">
        <f>IF(AN17=0,J17,0)</f>
        <v>0</v>
      </c>
      <c r="AK17" s="20">
        <f>IF(AN17=15,J17,0)</f>
        <v>0</v>
      </c>
      <c r="AL17" s="20">
        <f>IF(AN17=21,J17,0)</f>
        <v>0</v>
      </c>
      <c r="AN17" s="39">
        <v>15</v>
      </c>
      <c r="AO17" s="39">
        <f>G17*0</f>
        <v>0</v>
      </c>
      <c r="AP17" s="39">
        <f>G17*(1-0)</f>
        <v>0</v>
      </c>
      <c r="AQ17" s="40" t="s">
        <v>7</v>
      </c>
      <c r="AV17" s="39">
        <f>AW17+AX17</f>
        <v>0</v>
      </c>
      <c r="AW17" s="39">
        <f>F17*AO17</f>
        <v>0</v>
      </c>
      <c r="AX17" s="39">
        <f>F17*AP17</f>
        <v>0</v>
      </c>
      <c r="AY17" s="42" t="s">
        <v>217</v>
      </c>
      <c r="AZ17" s="42" t="s">
        <v>228</v>
      </c>
      <c r="BA17" s="29" t="s">
        <v>233</v>
      </c>
      <c r="BC17" s="39">
        <f>AW17+AX17</f>
        <v>0</v>
      </c>
      <c r="BD17" s="39">
        <f>G17/(100-BE17)*100</f>
        <v>0</v>
      </c>
      <c r="BE17" s="39">
        <v>0</v>
      </c>
      <c r="BF17" s="39">
        <f>L17</f>
        <v>77.22</v>
      </c>
      <c r="BH17" s="20">
        <f>F17*AO17</f>
        <v>0</v>
      </c>
      <c r="BI17" s="20">
        <f>F17*AP17</f>
        <v>0</v>
      </c>
      <c r="BJ17" s="20">
        <f>F17*G17</f>
        <v>0</v>
      </c>
      <c r="BK17" s="20" t="s">
        <v>238</v>
      </c>
      <c r="BL17" s="39">
        <v>11</v>
      </c>
    </row>
    <row r="18" spans="1:64" ht="12.75">
      <c r="A18" s="4" t="s">
        <v>11</v>
      </c>
      <c r="B18" s="12"/>
      <c r="C18" s="12" t="s">
        <v>63</v>
      </c>
      <c r="D18" s="12" t="s">
        <v>121</v>
      </c>
      <c r="E18" s="12" t="s">
        <v>180</v>
      </c>
      <c r="F18" s="20">
        <v>9.52</v>
      </c>
      <c r="G18" s="20"/>
      <c r="H18" s="20"/>
      <c r="I18" s="20"/>
      <c r="J18" s="20"/>
      <c r="K18" s="20">
        <v>0.225</v>
      </c>
      <c r="L18" s="20">
        <f>F18*K18</f>
        <v>2.142</v>
      </c>
      <c r="M18" s="33" t="s">
        <v>205</v>
      </c>
      <c r="N18" s="37"/>
      <c r="Z18" s="39">
        <f>IF(AQ18="5",BJ18,0)</f>
        <v>0</v>
      </c>
      <c r="AB18" s="39">
        <f>IF(AQ18="1",BH18,0)</f>
        <v>0</v>
      </c>
      <c r="AC18" s="39">
        <f>IF(AQ18="1",BI18,0)</f>
        <v>0</v>
      </c>
      <c r="AD18" s="39">
        <f>IF(AQ18="7",BH18,0)</f>
        <v>0</v>
      </c>
      <c r="AE18" s="39">
        <f>IF(AQ18="7",BI18,0)</f>
        <v>0</v>
      </c>
      <c r="AF18" s="39">
        <f>IF(AQ18="2",BH18,0)</f>
        <v>0</v>
      </c>
      <c r="AG18" s="39">
        <f>IF(AQ18="2",BI18,0)</f>
        <v>0</v>
      </c>
      <c r="AH18" s="39">
        <f>IF(AQ18="0",BJ18,0)</f>
        <v>0</v>
      </c>
      <c r="AI18" s="29"/>
      <c r="AJ18" s="20">
        <f>IF(AN18=0,J18,0)</f>
        <v>0</v>
      </c>
      <c r="AK18" s="20">
        <f>IF(AN18=15,J18,0)</f>
        <v>0</v>
      </c>
      <c r="AL18" s="20">
        <f>IF(AN18=21,J18,0)</f>
        <v>0</v>
      </c>
      <c r="AN18" s="39">
        <v>15</v>
      </c>
      <c r="AO18" s="39">
        <f>G18*0</f>
        <v>0</v>
      </c>
      <c r="AP18" s="39">
        <f>G18*(1-0)</f>
        <v>0</v>
      </c>
      <c r="AQ18" s="40" t="s">
        <v>7</v>
      </c>
      <c r="AV18" s="39">
        <f>AW18+AX18</f>
        <v>0</v>
      </c>
      <c r="AW18" s="39">
        <f>F18*AO18</f>
        <v>0</v>
      </c>
      <c r="AX18" s="39">
        <f>F18*AP18</f>
        <v>0</v>
      </c>
      <c r="AY18" s="42" t="s">
        <v>217</v>
      </c>
      <c r="AZ18" s="42" t="s">
        <v>228</v>
      </c>
      <c r="BA18" s="29" t="s">
        <v>233</v>
      </c>
      <c r="BC18" s="39">
        <f>AW18+AX18</f>
        <v>0</v>
      </c>
      <c r="BD18" s="39">
        <f>G18/(100-BE18)*100</f>
        <v>0</v>
      </c>
      <c r="BE18" s="39">
        <v>0</v>
      </c>
      <c r="BF18" s="39">
        <f>L18</f>
        <v>2.142</v>
      </c>
      <c r="BH18" s="20">
        <f>F18*AO18</f>
        <v>0</v>
      </c>
      <c r="BI18" s="20">
        <f>F18*AP18</f>
        <v>0</v>
      </c>
      <c r="BJ18" s="20">
        <f>F18*G18</f>
        <v>0</v>
      </c>
      <c r="BK18" s="20" t="s">
        <v>238</v>
      </c>
      <c r="BL18" s="39">
        <v>11</v>
      </c>
    </row>
    <row r="19" spans="1:64" ht="12.75">
      <c r="A19" s="4" t="s">
        <v>12</v>
      </c>
      <c r="B19" s="12"/>
      <c r="C19" s="12" t="s">
        <v>64</v>
      </c>
      <c r="D19" s="12" t="s">
        <v>122</v>
      </c>
      <c r="E19" s="12" t="s">
        <v>180</v>
      </c>
      <c r="F19" s="20">
        <v>60.6</v>
      </c>
      <c r="G19" s="20"/>
      <c r="H19" s="20"/>
      <c r="I19" s="20"/>
      <c r="J19" s="20"/>
      <c r="K19" s="20">
        <v>0.11</v>
      </c>
      <c r="L19" s="20">
        <f>F19*K19</f>
        <v>6.666</v>
      </c>
      <c r="M19" s="33" t="s">
        <v>205</v>
      </c>
      <c r="N19" s="37"/>
      <c r="Z19" s="39">
        <f>IF(AQ19="5",BJ19,0)</f>
        <v>0</v>
      </c>
      <c r="AB19" s="39">
        <f>IF(AQ19="1",BH19,0)</f>
        <v>0</v>
      </c>
      <c r="AC19" s="39">
        <f>IF(AQ19="1",BI19,0)</f>
        <v>0</v>
      </c>
      <c r="AD19" s="39">
        <f>IF(AQ19="7",BH19,0)</f>
        <v>0</v>
      </c>
      <c r="AE19" s="39">
        <f>IF(AQ19="7",BI19,0)</f>
        <v>0</v>
      </c>
      <c r="AF19" s="39">
        <f>IF(AQ19="2",BH19,0)</f>
        <v>0</v>
      </c>
      <c r="AG19" s="39">
        <f>IF(AQ19="2",BI19,0)</f>
        <v>0</v>
      </c>
      <c r="AH19" s="39">
        <f>IF(AQ19="0",BJ19,0)</f>
        <v>0</v>
      </c>
      <c r="AI19" s="29"/>
      <c r="AJ19" s="20">
        <f>IF(AN19=0,J19,0)</f>
        <v>0</v>
      </c>
      <c r="AK19" s="20">
        <f>IF(AN19=15,J19,0)</f>
        <v>0</v>
      </c>
      <c r="AL19" s="20">
        <f>IF(AN19=21,J19,0)</f>
        <v>0</v>
      </c>
      <c r="AN19" s="39">
        <v>15</v>
      </c>
      <c r="AO19" s="39">
        <f>G19*0</f>
        <v>0</v>
      </c>
      <c r="AP19" s="39">
        <f>G19*(1-0)</f>
        <v>0</v>
      </c>
      <c r="AQ19" s="40" t="s">
        <v>7</v>
      </c>
      <c r="AV19" s="39">
        <f>AW19+AX19</f>
        <v>0</v>
      </c>
      <c r="AW19" s="39">
        <f>F19*AO19</f>
        <v>0</v>
      </c>
      <c r="AX19" s="39">
        <f>F19*AP19</f>
        <v>0</v>
      </c>
      <c r="AY19" s="42" t="s">
        <v>217</v>
      </c>
      <c r="AZ19" s="42" t="s">
        <v>228</v>
      </c>
      <c r="BA19" s="29" t="s">
        <v>233</v>
      </c>
      <c r="BC19" s="39">
        <f>AW19+AX19</f>
        <v>0</v>
      </c>
      <c r="BD19" s="39">
        <f>G19/(100-BE19)*100</f>
        <v>0</v>
      </c>
      <c r="BE19" s="39">
        <v>0</v>
      </c>
      <c r="BF19" s="39">
        <f>L19</f>
        <v>6.666</v>
      </c>
      <c r="BH19" s="20">
        <f>F19*AO19</f>
        <v>0</v>
      </c>
      <c r="BI19" s="20">
        <f>F19*AP19</f>
        <v>0</v>
      </c>
      <c r="BJ19" s="20">
        <f>F19*G19</f>
        <v>0</v>
      </c>
      <c r="BK19" s="20" t="s">
        <v>238</v>
      </c>
      <c r="BL19" s="39">
        <v>11</v>
      </c>
    </row>
    <row r="20" spans="1:64" ht="12.75">
      <c r="A20" s="4" t="s">
        <v>13</v>
      </c>
      <c r="B20" s="12"/>
      <c r="C20" s="12" t="s">
        <v>65</v>
      </c>
      <c r="D20" s="12" t="s">
        <v>123</v>
      </c>
      <c r="E20" s="12" t="s">
        <v>180</v>
      </c>
      <c r="F20" s="20">
        <v>121.35</v>
      </c>
      <c r="G20" s="20"/>
      <c r="H20" s="20"/>
      <c r="I20" s="20"/>
      <c r="J20" s="20"/>
      <c r="K20" s="20">
        <v>0.66</v>
      </c>
      <c r="L20" s="20">
        <f>F20*K20</f>
        <v>80.091</v>
      </c>
      <c r="M20" s="33" t="s">
        <v>205</v>
      </c>
      <c r="N20" s="37"/>
      <c r="Z20" s="39">
        <f>IF(AQ20="5",BJ20,0)</f>
        <v>0</v>
      </c>
      <c r="AB20" s="39">
        <f>IF(AQ20="1",BH20,0)</f>
        <v>0</v>
      </c>
      <c r="AC20" s="39">
        <f>IF(AQ20="1",BI20,0)</f>
        <v>0</v>
      </c>
      <c r="AD20" s="39">
        <f>IF(AQ20="7",BH20,0)</f>
        <v>0</v>
      </c>
      <c r="AE20" s="39">
        <f>IF(AQ20="7",BI20,0)</f>
        <v>0</v>
      </c>
      <c r="AF20" s="39">
        <f>IF(AQ20="2",BH20,0)</f>
        <v>0</v>
      </c>
      <c r="AG20" s="39">
        <f>IF(AQ20="2",BI20,0)</f>
        <v>0</v>
      </c>
      <c r="AH20" s="39">
        <f>IF(AQ20="0",BJ20,0)</f>
        <v>0</v>
      </c>
      <c r="AI20" s="29"/>
      <c r="AJ20" s="20">
        <f>IF(AN20=0,J20,0)</f>
        <v>0</v>
      </c>
      <c r="AK20" s="20">
        <f>IF(AN20=15,J20,0)</f>
        <v>0</v>
      </c>
      <c r="AL20" s="20">
        <f>IF(AN20=21,J20,0)</f>
        <v>0</v>
      </c>
      <c r="AN20" s="39">
        <v>15</v>
      </c>
      <c r="AO20" s="39">
        <f>G20*0</f>
        <v>0</v>
      </c>
      <c r="AP20" s="39">
        <f>G20*(1-0)</f>
        <v>0</v>
      </c>
      <c r="AQ20" s="40" t="s">
        <v>7</v>
      </c>
      <c r="AV20" s="39">
        <f>AW20+AX20</f>
        <v>0</v>
      </c>
      <c r="AW20" s="39">
        <f>F20*AO20</f>
        <v>0</v>
      </c>
      <c r="AX20" s="39">
        <f>F20*AP20</f>
        <v>0</v>
      </c>
      <c r="AY20" s="42" t="s">
        <v>217</v>
      </c>
      <c r="AZ20" s="42" t="s">
        <v>228</v>
      </c>
      <c r="BA20" s="29" t="s">
        <v>233</v>
      </c>
      <c r="BC20" s="39">
        <f>AW20+AX20</f>
        <v>0</v>
      </c>
      <c r="BD20" s="39">
        <f>G20/(100-BE20)*100</f>
        <v>0</v>
      </c>
      <c r="BE20" s="39">
        <v>0</v>
      </c>
      <c r="BF20" s="39">
        <f>L20</f>
        <v>80.091</v>
      </c>
      <c r="BH20" s="20">
        <f>F20*AO20</f>
        <v>0</v>
      </c>
      <c r="BI20" s="20">
        <f>F20*AP20</f>
        <v>0</v>
      </c>
      <c r="BJ20" s="20">
        <f>F20*G20</f>
        <v>0</v>
      </c>
      <c r="BK20" s="20" t="s">
        <v>238</v>
      </c>
      <c r="BL20" s="39">
        <v>11</v>
      </c>
    </row>
    <row r="21" spans="1:47" ht="12.75">
      <c r="A21" s="5"/>
      <c r="B21" s="13"/>
      <c r="C21" s="13" t="s">
        <v>18</v>
      </c>
      <c r="D21" s="13" t="s">
        <v>124</v>
      </c>
      <c r="E21" s="18" t="s">
        <v>6</v>
      </c>
      <c r="F21" s="18" t="s">
        <v>6</v>
      </c>
      <c r="G21" s="18"/>
      <c r="H21" s="45"/>
      <c r="I21" s="45"/>
      <c r="J21" s="45"/>
      <c r="K21" s="29"/>
      <c r="L21" s="45">
        <f>SUM(L22:L24)</f>
        <v>0</v>
      </c>
      <c r="M21" s="34"/>
      <c r="N21" s="37"/>
      <c r="AI21" s="29"/>
      <c r="AS21" s="45">
        <f>SUM(AJ22:AJ25)</f>
        <v>0</v>
      </c>
      <c r="AT21" s="45">
        <f>SUM(AK22:AK25)</f>
        <v>0</v>
      </c>
      <c r="AU21" s="45">
        <f>SUM(AL22:AL25)</f>
        <v>0</v>
      </c>
    </row>
    <row r="22" spans="1:64" ht="12.75">
      <c r="A22" s="4" t="s">
        <v>14</v>
      </c>
      <c r="B22" s="12"/>
      <c r="C22" s="12" t="s">
        <v>66</v>
      </c>
      <c r="D22" s="12" t="s">
        <v>125</v>
      </c>
      <c r="E22" s="12" t="s">
        <v>181</v>
      </c>
      <c r="F22" s="20">
        <v>20</v>
      </c>
      <c r="G22" s="20"/>
      <c r="H22" s="20"/>
      <c r="I22" s="20"/>
      <c r="J22" s="20"/>
      <c r="K22" s="20">
        <v>0</v>
      </c>
      <c r="L22" s="20">
        <f>F22*K22</f>
        <v>0</v>
      </c>
      <c r="M22" s="33" t="s">
        <v>205</v>
      </c>
      <c r="N22" s="37"/>
      <c r="Z22" s="39">
        <f>IF(AQ22="5",BJ22,0)</f>
        <v>0</v>
      </c>
      <c r="AB22" s="39">
        <f>IF(AQ22="1",BH22,0)</f>
        <v>0</v>
      </c>
      <c r="AC22" s="39">
        <f>IF(AQ22="1",BI22,0)</f>
        <v>0</v>
      </c>
      <c r="AD22" s="39">
        <f>IF(AQ22="7",BH22,0)</f>
        <v>0</v>
      </c>
      <c r="AE22" s="39">
        <f>IF(AQ22="7",BI22,0)</f>
        <v>0</v>
      </c>
      <c r="AF22" s="39">
        <f>IF(AQ22="2",BH22,0)</f>
        <v>0</v>
      </c>
      <c r="AG22" s="39">
        <f>IF(AQ22="2",BI22,0)</f>
        <v>0</v>
      </c>
      <c r="AH22" s="39">
        <f>IF(AQ22="0",BJ22,0)</f>
        <v>0</v>
      </c>
      <c r="AI22" s="29"/>
      <c r="AJ22" s="20">
        <f>IF(AN22=0,J22,0)</f>
        <v>0</v>
      </c>
      <c r="AK22" s="20">
        <f>IF(AN22=15,J22,0)</f>
        <v>0</v>
      </c>
      <c r="AL22" s="20">
        <f>IF(AN22=21,J22,0)</f>
        <v>0</v>
      </c>
      <c r="AN22" s="39">
        <v>15</v>
      </c>
      <c r="AO22" s="39">
        <f>G22*0</f>
        <v>0</v>
      </c>
      <c r="AP22" s="39">
        <f>G22*(1-0)</f>
        <v>0</v>
      </c>
      <c r="AQ22" s="40" t="s">
        <v>7</v>
      </c>
      <c r="AV22" s="39">
        <f>AW22+AX22</f>
        <v>0</v>
      </c>
      <c r="AW22" s="39">
        <f>F22*AO22</f>
        <v>0</v>
      </c>
      <c r="AX22" s="39">
        <f>F22*AP22</f>
        <v>0</v>
      </c>
      <c r="AY22" s="42" t="s">
        <v>218</v>
      </c>
      <c r="AZ22" s="42" t="s">
        <v>228</v>
      </c>
      <c r="BA22" s="29" t="s">
        <v>233</v>
      </c>
      <c r="BC22" s="39">
        <f>AW22+AX22</f>
        <v>0</v>
      </c>
      <c r="BD22" s="39">
        <f>G22/(100-BE22)*100</f>
        <v>0</v>
      </c>
      <c r="BE22" s="39">
        <v>0</v>
      </c>
      <c r="BF22" s="39">
        <f>L22</f>
        <v>0</v>
      </c>
      <c r="BH22" s="20">
        <f>F22*AO22</f>
        <v>0</v>
      </c>
      <c r="BI22" s="20">
        <f>F22*AP22</f>
        <v>0</v>
      </c>
      <c r="BJ22" s="20">
        <f>F22*G22</f>
        <v>0</v>
      </c>
      <c r="BK22" s="20" t="s">
        <v>238</v>
      </c>
      <c r="BL22" s="39">
        <v>12</v>
      </c>
    </row>
    <row r="23" spans="1:64" ht="12.75">
      <c r="A23" s="89" t="s">
        <v>15</v>
      </c>
      <c r="B23" s="12"/>
      <c r="C23" s="81" t="s">
        <v>287</v>
      </c>
      <c r="D23" s="82" t="s">
        <v>288</v>
      </c>
      <c r="E23" s="83" t="s">
        <v>181</v>
      </c>
      <c r="F23" s="20">
        <v>48</v>
      </c>
      <c r="G23" s="20"/>
      <c r="H23" s="20"/>
      <c r="I23" s="20"/>
      <c r="J23" s="20"/>
      <c r="K23" s="20">
        <v>0</v>
      </c>
      <c r="L23" s="20">
        <f>F23*K23</f>
        <v>0</v>
      </c>
      <c r="M23" s="33" t="s">
        <v>289</v>
      </c>
      <c r="N23" s="37"/>
      <c r="Z23" s="39"/>
      <c r="AB23" s="39"/>
      <c r="AC23" s="39"/>
      <c r="AD23" s="39"/>
      <c r="AE23" s="39"/>
      <c r="AF23" s="39"/>
      <c r="AG23" s="39"/>
      <c r="AH23" s="39"/>
      <c r="AI23" s="29"/>
      <c r="AJ23" s="20"/>
      <c r="AK23" s="20"/>
      <c r="AL23" s="20"/>
      <c r="AN23" s="39"/>
      <c r="AO23" s="39"/>
      <c r="AP23" s="39"/>
      <c r="AQ23" s="40"/>
      <c r="AV23" s="39"/>
      <c r="AW23" s="39"/>
      <c r="AX23" s="39"/>
      <c r="AY23" s="42"/>
      <c r="AZ23" s="42"/>
      <c r="BA23" s="29"/>
      <c r="BC23" s="39"/>
      <c r="BD23" s="39"/>
      <c r="BE23" s="39"/>
      <c r="BF23" s="39"/>
      <c r="BH23" s="20"/>
      <c r="BI23" s="20"/>
      <c r="BJ23" s="20"/>
      <c r="BK23" s="20"/>
      <c r="BL23" s="39"/>
    </row>
    <row r="24" spans="1:64" ht="12.75">
      <c r="A24" s="89" t="s">
        <v>16</v>
      </c>
      <c r="B24" s="12"/>
      <c r="C24" s="12" t="s">
        <v>67</v>
      </c>
      <c r="D24" s="12" t="s">
        <v>126</v>
      </c>
      <c r="E24" s="12" t="s">
        <v>181</v>
      </c>
      <c r="F24" s="20">
        <v>181.25</v>
      </c>
      <c r="G24" s="20"/>
      <c r="H24" s="20"/>
      <c r="I24" s="20"/>
      <c r="J24" s="20"/>
      <c r="K24" s="20">
        <v>0</v>
      </c>
      <c r="L24" s="20">
        <f>F24*K24</f>
        <v>0</v>
      </c>
      <c r="M24" s="33" t="s">
        <v>205</v>
      </c>
      <c r="N24" s="37"/>
      <c r="Z24" s="39"/>
      <c r="AB24" s="39"/>
      <c r="AC24" s="39"/>
      <c r="AD24" s="39"/>
      <c r="AE24" s="39"/>
      <c r="AF24" s="39"/>
      <c r="AG24" s="39"/>
      <c r="AH24" s="39"/>
      <c r="AI24" s="29"/>
      <c r="AJ24" s="20"/>
      <c r="AK24" s="20"/>
      <c r="AL24" s="20"/>
      <c r="AN24" s="39"/>
      <c r="AO24" s="39"/>
      <c r="AP24" s="39"/>
      <c r="AQ24" s="40"/>
      <c r="AV24" s="39"/>
      <c r="AW24" s="39"/>
      <c r="AX24" s="39"/>
      <c r="AY24" s="42"/>
      <c r="AZ24" s="42"/>
      <c r="BA24" s="29"/>
      <c r="BC24" s="39"/>
      <c r="BD24" s="39"/>
      <c r="BE24" s="39"/>
      <c r="BF24" s="39"/>
      <c r="BH24" s="20"/>
      <c r="BI24" s="20"/>
      <c r="BJ24" s="20"/>
      <c r="BK24" s="20"/>
      <c r="BL24" s="39"/>
    </row>
    <row r="25" spans="1:64" ht="12.75">
      <c r="A25" s="89" t="s">
        <v>17</v>
      </c>
      <c r="B25" s="12"/>
      <c r="C25" s="85" t="s">
        <v>290</v>
      </c>
      <c r="D25" s="86" t="s">
        <v>291</v>
      </c>
      <c r="E25" s="84" t="s">
        <v>186</v>
      </c>
      <c r="F25">
        <v>412.65</v>
      </c>
      <c r="H25" s="20"/>
      <c r="I25" s="20"/>
      <c r="J25" s="20"/>
      <c r="N25" s="37"/>
      <c r="Z25" s="39">
        <f>IF(AQ25="5",BJ25,0)</f>
        <v>0</v>
      </c>
      <c r="AB25" s="39">
        <f>IF(AQ25="1",BH25,0)</f>
        <v>0</v>
      </c>
      <c r="AC25" s="39">
        <f>IF(AQ25="1",BI25,0)</f>
        <v>0</v>
      </c>
      <c r="AD25" s="39">
        <f>IF(AQ25="7",BH25,0)</f>
        <v>0</v>
      </c>
      <c r="AE25" s="39">
        <f>IF(AQ25="7",BI25,0)</f>
        <v>0</v>
      </c>
      <c r="AF25" s="39">
        <f>IF(AQ25="2",BH25,0)</f>
        <v>0</v>
      </c>
      <c r="AG25" s="39">
        <f>IF(AQ25="2",BI25,0)</f>
        <v>0</v>
      </c>
      <c r="AH25" s="39">
        <f>IF(AQ25="0",BJ25,0)</f>
        <v>0</v>
      </c>
      <c r="AI25" s="29"/>
      <c r="AJ25" s="20">
        <f>IF(AN25=0,J24,0)</f>
        <v>0</v>
      </c>
      <c r="AK25" s="20">
        <f>IF(AN25=15,J24,0)</f>
        <v>0</v>
      </c>
      <c r="AL25" s="20">
        <f>IF(AN25=21,J24,0)</f>
        <v>0</v>
      </c>
      <c r="AN25" s="39">
        <v>15</v>
      </c>
      <c r="AO25" s="39">
        <f>G24*0</f>
        <v>0</v>
      </c>
      <c r="AP25" s="39">
        <f>G24*(1-0)</f>
        <v>0</v>
      </c>
      <c r="AQ25" s="40" t="s">
        <v>7</v>
      </c>
      <c r="AV25" s="39">
        <f>AW25+AX25</f>
        <v>0</v>
      </c>
      <c r="AW25" s="39">
        <f>F24*AO25</f>
        <v>0</v>
      </c>
      <c r="AX25" s="39">
        <f>F24*AP25</f>
        <v>0</v>
      </c>
      <c r="AY25" s="42" t="s">
        <v>218</v>
      </c>
      <c r="AZ25" s="42" t="s">
        <v>228</v>
      </c>
      <c r="BA25" s="29" t="s">
        <v>233</v>
      </c>
      <c r="BC25" s="39">
        <f>AW25+AX25</f>
        <v>0</v>
      </c>
      <c r="BD25" s="39">
        <f>G24/(100-BE25)*100</f>
        <v>0</v>
      </c>
      <c r="BE25" s="39">
        <v>0</v>
      </c>
      <c r="BF25" s="39">
        <f>L24</f>
        <v>0</v>
      </c>
      <c r="BH25" s="20">
        <f>F24*AO25</f>
        <v>0</v>
      </c>
      <c r="BI25" s="20">
        <f>F24*AP25</f>
        <v>0</v>
      </c>
      <c r="BJ25" s="20">
        <f>F24*G24</f>
        <v>0</v>
      </c>
      <c r="BK25" s="20" t="s">
        <v>238</v>
      </c>
      <c r="BL25" s="39">
        <v>12</v>
      </c>
    </row>
    <row r="26" spans="1:47" ht="12.75">
      <c r="A26" s="5"/>
      <c r="B26" s="13"/>
      <c r="C26" s="13" t="s">
        <v>22</v>
      </c>
      <c r="D26" s="13" t="s">
        <v>127</v>
      </c>
      <c r="E26" s="18" t="s">
        <v>6</v>
      </c>
      <c r="F26" s="18" t="s">
        <v>6</v>
      </c>
      <c r="G26" s="18"/>
      <c r="H26" s="45"/>
      <c r="I26" s="45"/>
      <c r="J26" s="45"/>
      <c r="K26" s="29"/>
      <c r="L26" s="45">
        <f>SUM(L27:L29)</f>
        <v>0</v>
      </c>
      <c r="M26" s="34"/>
      <c r="N26" s="37"/>
      <c r="AI26" s="29"/>
      <c r="AS26" s="45">
        <f>SUM(AJ27:AJ29)</f>
        <v>0</v>
      </c>
      <c r="AT26" s="45">
        <f>SUM(AK27:AK29)</f>
        <v>0</v>
      </c>
      <c r="AU26" s="45">
        <f>SUM(AL27:AL29)</f>
        <v>0</v>
      </c>
    </row>
    <row r="27" spans="1:64" ht="12.75">
      <c r="A27" s="89" t="s">
        <v>18</v>
      </c>
      <c r="B27" s="12"/>
      <c r="C27" s="12" t="s">
        <v>68</v>
      </c>
      <c r="D27" s="12" t="s">
        <v>128</v>
      </c>
      <c r="E27" s="12" t="s">
        <v>181</v>
      </c>
      <c r="F27" s="20">
        <v>229.5</v>
      </c>
      <c r="G27" s="20"/>
      <c r="H27" s="20"/>
      <c r="I27" s="20"/>
      <c r="J27" s="20"/>
      <c r="K27" s="20">
        <v>0</v>
      </c>
      <c r="L27" s="20">
        <f>F27*K27</f>
        <v>0</v>
      </c>
      <c r="M27" s="33" t="s">
        <v>205</v>
      </c>
      <c r="N27" s="37"/>
      <c r="Z27" s="39">
        <f>IF(AQ27="5",BJ27,0)</f>
        <v>0</v>
      </c>
      <c r="AB27" s="39">
        <f>IF(AQ27="1",BH27,0)</f>
        <v>0</v>
      </c>
      <c r="AC27" s="39">
        <f>IF(AQ27="1",BI27,0)</f>
        <v>0</v>
      </c>
      <c r="AD27" s="39">
        <f>IF(AQ27="7",BH27,0)</f>
        <v>0</v>
      </c>
      <c r="AE27" s="39">
        <f>IF(AQ27="7",BI27,0)</f>
        <v>0</v>
      </c>
      <c r="AF27" s="39">
        <f>IF(AQ27="2",BH27,0)</f>
        <v>0</v>
      </c>
      <c r="AG27" s="39">
        <f>IF(AQ27="2",BI27,0)</f>
        <v>0</v>
      </c>
      <c r="AH27" s="39">
        <f>IF(AQ27="0",BJ27,0)</f>
        <v>0</v>
      </c>
      <c r="AI27" s="29"/>
      <c r="AJ27" s="20">
        <f>IF(AN27=0,J27,0)</f>
        <v>0</v>
      </c>
      <c r="AK27" s="20">
        <f>IF(AN27=15,J27,0)</f>
        <v>0</v>
      </c>
      <c r="AL27" s="20">
        <f>IF(AN27=21,J27,0)</f>
        <v>0</v>
      </c>
      <c r="AN27" s="39">
        <v>15</v>
      </c>
      <c r="AO27" s="39">
        <f>G27*0</f>
        <v>0</v>
      </c>
      <c r="AP27" s="39">
        <f>G27*(1-0)</f>
        <v>0</v>
      </c>
      <c r="AQ27" s="40" t="s">
        <v>7</v>
      </c>
      <c r="AV27" s="39">
        <f>AW27+AX27</f>
        <v>0</v>
      </c>
      <c r="AW27" s="39">
        <f>F27*AO27</f>
        <v>0</v>
      </c>
      <c r="AX27" s="39">
        <f>F27*AP27</f>
        <v>0</v>
      </c>
      <c r="AY27" s="42" t="s">
        <v>219</v>
      </c>
      <c r="AZ27" s="42" t="s">
        <v>228</v>
      </c>
      <c r="BA27" s="29" t="s">
        <v>233</v>
      </c>
      <c r="BC27" s="39">
        <f>AW27+AX27</f>
        <v>0</v>
      </c>
      <c r="BD27" s="39">
        <f>G27/(100-BE27)*100</f>
        <v>0</v>
      </c>
      <c r="BE27" s="39">
        <v>0</v>
      </c>
      <c r="BF27" s="39">
        <f>L27</f>
        <v>0</v>
      </c>
      <c r="BH27" s="20">
        <f>F27*AO27</f>
        <v>0</v>
      </c>
      <c r="BI27" s="20">
        <f>F27*AP27</f>
        <v>0</v>
      </c>
      <c r="BJ27" s="20">
        <f>F27*G27</f>
        <v>0</v>
      </c>
      <c r="BK27" s="20" t="s">
        <v>238</v>
      </c>
      <c r="BL27" s="39">
        <v>16</v>
      </c>
    </row>
    <row r="28" spans="1:64" ht="12.75">
      <c r="A28" s="89" t="s">
        <v>19</v>
      </c>
      <c r="B28" s="12"/>
      <c r="C28" s="12" t="s">
        <v>69</v>
      </c>
      <c r="D28" s="12" t="s">
        <v>129</v>
      </c>
      <c r="E28" s="12" t="s">
        <v>181</v>
      </c>
      <c r="F28" s="20">
        <v>229.5</v>
      </c>
      <c r="G28" s="20"/>
      <c r="H28" s="20"/>
      <c r="I28" s="20"/>
      <c r="J28" s="20"/>
      <c r="K28" s="20">
        <v>0</v>
      </c>
      <c r="L28" s="20">
        <f>F28*K28</f>
        <v>0</v>
      </c>
      <c r="M28" s="33" t="s">
        <v>205</v>
      </c>
      <c r="N28" s="37"/>
      <c r="Z28" s="39">
        <f>IF(AQ28="5",BJ28,0)</f>
        <v>0</v>
      </c>
      <c r="AB28" s="39">
        <f>IF(AQ28="1",BH28,0)</f>
        <v>0</v>
      </c>
      <c r="AC28" s="39">
        <f>IF(AQ28="1",BI28,0)</f>
        <v>0</v>
      </c>
      <c r="AD28" s="39">
        <f>IF(AQ28="7",BH28,0)</f>
        <v>0</v>
      </c>
      <c r="AE28" s="39">
        <f>IF(AQ28="7",BI28,0)</f>
        <v>0</v>
      </c>
      <c r="AF28" s="39">
        <f>IF(AQ28="2",BH28,0)</f>
        <v>0</v>
      </c>
      <c r="AG28" s="39">
        <f>IF(AQ28="2",BI28,0)</f>
        <v>0</v>
      </c>
      <c r="AH28" s="39">
        <f>IF(AQ28="0",BJ28,0)</f>
        <v>0</v>
      </c>
      <c r="AI28" s="29"/>
      <c r="AJ28" s="20">
        <f>IF(AN28=0,J28,0)</f>
        <v>0</v>
      </c>
      <c r="AK28" s="20">
        <f>IF(AN28=15,J28,0)</f>
        <v>0</v>
      </c>
      <c r="AL28" s="20">
        <f>IF(AN28=21,J28,0)</f>
        <v>0</v>
      </c>
      <c r="AN28" s="39">
        <v>15</v>
      </c>
      <c r="AO28" s="39">
        <f>G28*0</f>
        <v>0</v>
      </c>
      <c r="AP28" s="39">
        <f>G28*(1-0)</f>
        <v>0</v>
      </c>
      <c r="AQ28" s="40" t="s">
        <v>7</v>
      </c>
      <c r="AV28" s="39">
        <f>AW28+AX28</f>
        <v>0</v>
      </c>
      <c r="AW28" s="39">
        <f>F28*AO28</f>
        <v>0</v>
      </c>
      <c r="AX28" s="39">
        <f>F28*AP28</f>
        <v>0</v>
      </c>
      <c r="AY28" s="42" t="s">
        <v>219</v>
      </c>
      <c r="AZ28" s="42" t="s">
        <v>228</v>
      </c>
      <c r="BA28" s="29" t="s">
        <v>233</v>
      </c>
      <c r="BC28" s="39">
        <f>AW28+AX28</f>
        <v>0</v>
      </c>
      <c r="BD28" s="39">
        <f>G28/(100-BE28)*100</f>
        <v>0</v>
      </c>
      <c r="BE28" s="39">
        <v>0</v>
      </c>
      <c r="BF28" s="39">
        <f>L28</f>
        <v>0</v>
      </c>
      <c r="BH28" s="20">
        <f>F28*AO28</f>
        <v>0</v>
      </c>
      <c r="BI28" s="20">
        <f>F28*AP28</f>
        <v>0</v>
      </c>
      <c r="BJ28" s="20">
        <f>F28*G28</f>
        <v>0</v>
      </c>
      <c r="BK28" s="20" t="s">
        <v>238</v>
      </c>
      <c r="BL28" s="39">
        <v>16</v>
      </c>
    </row>
    <row r="29" spans="1:64" ht="12.75">
      <c r="A29" s="89" t="s">
        <v>20</v>
      </c>
      <c r="B29" s="12"/>
      <c r="C29" s="12" t="s">
        <v>70</v>
      </c>
      <c r="D29" s="12" t="s">
        <v>130</v>
      </c>
      <c r="E29" s="12" t="s">
        <v>181</v>
      </c>
      <c r="F29" s="20">
        <v>688.5</v>
      </c>
      <c r="G29" s="20"/>
      <c r="H29" s="20"/>
      <c r="I29" s="20"/>
      <c r="J29" s="20"/>
      <c r="K29" s="20">
        <v>0</v>
      </c>
      <c r="L29" s="20">
        <f>F29*K29</f>
        <v>0</v>
      </c>
      <c r="M29" s="33" t="s">
        <v>205</v>
      </c>
      <c r="N29" s="37"/>
      <c r="Z29" s="39">
        <f>IF(AQ29="5",BJ29,0)</f>
        <v>0</v>
      </c>
      <c r="AB29" s="39">
        <f>IF(AQ29="1",BH29,0)</f>
        <v>0</v>
      </c>
      <c r="AC29" s="39">
        <f>IF(AQ29="1",BI29,0)</f>
        <v>0</v>
      </c>
      <c r="AD29" s="39">
        <f>IF(AQ29="7",BH29,0)</f>
        <v>0</v>
      </c>
      <c r="AE29" s="39">
        <f>IF(AQ29="7",BI29,0)</f>
        <v>0</v>
      </c>
      <c r="AF29" s="39">
        <f>IF(AQ29="2",BH29,0)</f>
        <v>0</v>
      </c>
      <c r="AG29" s="39">
        <f>IF(AQ29="2",BI29,0)</f>
        <v>0</v>
      </c>
      <c r="AH29" s="39">
        <f>IF(AQ29="0",BJ29,0)</f>
        <v>0</v>
      </c>
      <c r="AI29" s="29"/>
      <c r="AJ29" s="20">
        <f>IF(AN29=0,J29,0)</f>
        <v>0</v>
      </c>
      <c r="AK29" s="20">
        <f>IF(AN29=15,J29,0)</f>
        <v>0</v>
      </c>
      <c r="AL29" s="20">
        <f>IF(AN29=21,J29,0)</f>
        <v>0</v>
      </c>
      <c r="AN29" s="39">
        <v>15</v>
      </c>
      <c r="AO29" s="39">
        <f>G29*0</f>
        <v>0</v>
      </c>
      <c r="AP29" s="39">
        <f>G29*(1-0)</f>
        <v>0</v>
      </c>
      <c r="AQ29" s="40" t="s">
        <v>7</v>
      </c>
      <c r="AV29" s="39">
        <f>AW29+AX29</f>
        <v>0</v>
      </c>
      <c r="AW29" s="39">
        <f>F29*AO29</f>
        <v>0</v>
      </c>
      <c r="AX29" s="39">
        <f>F29*AP29</f>
        <v>0</v>
      </c>
      <c r="AY29" s="42" t="s">
        <v>219</v>
      </c>
      <c r="AZ29" s="42" t="s">
        <v>228</v>
      </c>
      <c r="BA29" s="29" t="s">
        <v>233</v>
      </c>
      <c r="BC29" s="39">
        <f>AW29+AX29</f>
        <v>0</v>
      </c>
      <c r="BD29" s="39">
        <f>G29/(100-BE29)*100</f>
        <v>0</v>
      </c>
      <c r="BE29" s="39">
        <v>0</v>
      </c>
      <c r="BF29" s="39">
        <f>L29</f>
        <v>0</v>
      </c>
      <c r="BH29" s="20">
        <f>F29*AO29</f>
        <v>0</v>
      </c>
      <c r="BI29" s="20">
        <f>F29*AP29</f>
        <v>0</v>
      </c>
      <c r="BJ29" s="20">
        <f>F29*G29</f>
        <v>0</v>
      </c>
      <c r="BK29" s="20" t="s">
        <v>238</v>
      </c>
      <c r="BL29" s="39">
        <v>16</v>
      </c>
    </row>
    <row r="30" spans="1:47" ht="12.75">
      <c r="A30" s="5"/>
      <c r="B30" s="13"/>
      <c r="C30" s="13" t="s">
        <v>27</v>
      </c>
      <c r="D30" s="13" t="s">
        <v>131</v>
      </c>
      <c r="E30" s="18" t="s">
        <v>6</v>
      </c>
      <c r="F30" s="18" t="s">
        <v>6</v>
      </c>
      <c r="G30" s="18"/>
      <c r="H30" s="45"/>
      <c r="I30" s="45"/>
      <c r="J30" s="45"/>
      <c r="K30" s="29"/>
      <c r="L30" s="45">
        <f>SUM(L31:L31)</f>
        <v>5.8669</v>
      </c>
      <c r="M30" s="34"/>
      <c r="N30" s="37"/>
      <c r="AI30" s="29"/>
      <c r="AS30" s="45">
        <f>SUM(AJ31:AJ31)</f>
        <v>0</v>
      </c>
      <c r="AT30" s="45">
        <f>SUM(AK31:AK31)</f>
        <v>0</v>
      </c>
      <c r="AU30" s="45">
        <f>SUM(AL31:AL31)</f>
        <v>0</v>
      </c>
    </row>
    <row r="31" spans="1:64" ht="12.75">
      <c r="A31" s="89" t="s">
        <v>21</v>
      </c>
      <c r="B31" s="12"/>
      <c r="C31" s="12" t="s">
        <v>71</v>
      </c>
      <c r="D31" s="12" t="s">
        <v>132</v>
      </c>
      <c r="E31" s="12" t="s">
        <v>182</v>
      </c>
      <c r="F31" s="20">
        <v>1</v>
      </c>
      <c r="G31" s="20"/>
      <c r="H31" s="20"/>
      <c r="I31" s="20"/>
      <c r="J31" s="20"/>
      <c r="K31" s="20">
        <v>5.8669</v>
      </c>
      <c r="L31" s="20">
        <f>F31*K31</f>
        <v>5.8669</v>
      </c>
      <c r="M31" s="33" t="s">
        <v>205</v>
      </c>
      <c r="N31" s="37"/>
      <c r="Z31" s="39">
        <f>IF(AQ31="5",BJ31,0)</f>
        <v>0</v>
      </c>
      <c r="AB31" s="39">
        <f>IF(AQ31="1",BH31,0)</f>
        <v>0</v>
      </c>
      <c r="AC31" s="39">
        <f>IF(AQ31="1",BI31,0)</f>
        <v>0</v>
      </c>
      <c r="AD31" s="39">
        <f>IF(AQ31="7",BH31,0)</f>
        <v>0</v>
      </c>
      <c r="AE31" s="39">
        <f>IF(AQ31="7",BI31,0)</f>
        <v>0</v>
      </c>
      <c r="AF31" s="39">
        <f>IF(AQ31="2",BH31,0)</f>
        <v>0</v>
      </c>
      <c r="AG31" s="39">
        <f>IF(AQ31="2",BI31,0)</f>
        <v>0</v>
      </c>
      <c r="AH31" s="39">
        <f>IF(AQ31="0",BJ31,0)</f>
        <v>0</v>
      </c>
      <c r="AI31" s="29"/>
      <c r="AJ31" s="20">
        <f>IF(AN31=0,J31,0)</f>
        <v>0</v>
      </c>
      <c r="AK31" s="20">
        <f>IF(AN31=15,J31,0)</f>
        <v>0</v>
      </c>
      <c r="AL31" s="20">
        <f>IF(AN31=21,J31,0)</f>
        <v>0</v>
      </c>
      <c r="AN31" s="39">
        <v>15</v>
      </c>
      <c r="AO31" s="39">
        <f>G31*0.821548024738104</f>
        <v>0</v>
      </c>
      <c r="AP31" s="39">
        <f>G31*(1-0.821548024738104)</f>
        <v>0</v>
      </c>
      <c r="AQ31" s="40" t="s">
        <v>7</v>
      </c>
      <c r="AV31" s="39">
        <f>AW31+AX31</f>
        <v>0</v>
      </c>
      <c r="AW31" s="39">
        <f>F31*AO31</f>
        <v>0</v>
      </c>
      <c r="AX31" s="39">
        <f>F31*AP31</f>
        <v>0</v>
      </c>
      <c r="AY31" s="42" t="s">
        <v>220</v>
      </c>
      <c r="AZ31" s="42" t="s">
        <v>229</v>
      </c>
      <c r="BA31" s="29" t="s">
        <v>233</v>
      </c>
      <c r="BC31" s="39">
        <f>AW31+AX31</f>
        <v>0</v>
      </c>
      <c r="BD31" s="39">
        <f>G31/(100-BE31)*100</f>
        <v>0</v>
      </c>
      <c r="BE31" s="39">
        <v>0</v>
      </c>
      <c r="BF31" s="39">
        <f>L31</f>
        <v>5.8669</v>
      </c>
      <c r="BH31" s="20">
        <f>F31*AO31</f>
        <v>0</v>
      </c>
      <c r="BI31" s="20">
        <f>F31*AP31</f>
        <v>0</v>
      </c>
      <c r="BJ31" s="20">
        <f>F31*G31</f>
        <v>0</v>
      </c>
      <c r="BK31" s="20" t="s">
        <v>238</v>
      </c>
      <c r="BL31" s="39">
        <v>21</v>
      </c>
    </row>
    <row r="32" spans="1:47" ht="12.75">
      <c r="A32" s="5"/>
      <c r="B32" s="13"/>
      <c r="C32" s="13" t="s">
        <v>72</v>
      </c>
      <c r="D32" s="13" t="s">
        <v>133</v>
      </c>
      <c r="E32" s="18" t="s">
        <v>6</v>
      </c>
      <c r="F32" s="18" t="s">
        <v>6</v>
      </c>
      <c r="G32" s="18"/>
      <c r="H32" s="45"/>
      <c r="I32" s="45"/>
      <c r="J32" s="45"/>
      <c r="K32" s="29"/>
      <c r="L32" s="45">
        <f>SUM(L33:L35)</f>
        <v>433.08295050000004</v>
      </c>
      <c r="M32" s="34"/>
      <c r="N32" s="37"/>
      <c r="AI32" s="29"/>
      <c r="AS32" s="45">
        <f>SUM(AJ33:AJ35)</f>
        <v>0</v>
      </c>
      <c r="AT32" s="45">
        <f>SUM(AK33:AK35)</f>
        <v>0</v>
      </c>
      <c r="AU32" s="45">
        <f>SUM(AL33:AL35)</f>
        <v>0</v>
      </c>
    </row>
    <row r="33" spans="1:64" ht="12.75">
      <c r="A33" s="89" t="s">
        <v>22</v>
      </c>
      <c r="B33" s="12"/>
      <c r="C33" s="12" t="s">
        <v>73</v>
      </c>
      <c r="D33" s="12" t="s">
        <v>134</v>
      </c>
      <c r="E33" s="12" t="s">
        <v>180</v>
      </c>
      <c r="F33" s="20">
        <v>972.7</v>
      </c>
      <c r="G33" s="20"/>
      <c r="H33" s="20"/>
      <c r="I33" s="20"/>
      <c r="J33" s="20"/>
      <c r="K33" s="20">
        <v>0.378</v>
      </c>
      <c r="L33" s="20">
        <f>F33*K33</f>
        <v>367.6806</v>
      </c>
      <c r="M33" s="33" t="s">
        <v>205</v>
      </c>
      <c r="N33" s="37"/>
      <c r="Z33" s="39">
        <f>IF(AQ33="5",BJ33,0)</f>
        <v>0</v>
      </c>
      <c r="AB33" s="39">
        <f>IF(AQ33="1",BH33,0)</f>
        <v>0</v>
      </c>
      <c r="AC33" s="39">
        <f>IF(AQ33="1",BI33,0)</f>
        <v>0</v>
      </c>
      <c r="AD33" s="39">
        <f>IF(AQ33="7",BH33,0)</f>
        <v>0</v>
      </c>
      <c r="AE33" s="39">
        <f>IF(AQ33="7",BI33,0)</f>
        <v>0</v>
      </c>
      <c r="AF33" s="39">
        <f>IF(AQ33="2",BH33,0)</f>
        <v>0</v>
      </c>
      <c r="AG33" s="39">
        <f>IF(AQ33="2",BI33,0)</f>
        <v>0</v>
      </c>
      <c r="AH33" s="39">
        <f>IF(AQ33="0",BJ33,0)</f>
        <v>0</v>
      </c>
      <c r="AI33" s="29"/>
      <c r="AJ33" s="20">
        <f>IF(AN33=0,J33,0)</f>
        <v>0</v>
      </c>
      <c r="AK33" s="20">
        <f>IF(AN33=15,J33,0)</f>
        <v>0</v>
      </c>
      <c r="AL33" s="20">
        <f>IF(AN33=21,J33,0)</f>
        <v>0</v>
      </c>
      <c r="AN33" s="39">
        <v>15</v>
      </c>
      <c r="AO33" s="39">
        <f>G33*0.863567338550792</f>
        <v>0</v>
      </c>
      <c r="AP33" s="39">
        <f>G33*(1-0.863567338550792)</f>
        <v>0</v>
      </c>
      <c r="AQ33" s="40" t="s">
        <v>7</v>
      </c>
      <c r="AV33" s="39">
        <f>AW33+AX33</f>
        <v>0</v>
      </c>
      <c r="AW33" s="39">
        <f>F33*AO33</f>
        <v>0</v>
      </c>
      <c r="AX33" s="39">
        <f>F33*AP33</f>
        <v>0</v>
      </c>
      <c r="AY33" s="42" t="s">
        <v>221</v>
      </c>
      <c r="AZ33" s="42" t="s">
        <v>230</v>
      </c>
      <c r="BA33" s="29" t="s">
        <v>233</v>
      </c>
      <c r="BC33" s="39">
        <f>AW33+AX33</f>
        <v>0</v>
      </c>
      <c r="BD33" s="39">
        <f>G33/(100-BE33)*100</f>
        <v>0</v>
      </c>
      <c r="BE33" s="39">
        <v>0</v>
      </c>
      <c r="BF33" s="39">
        <f>L33</f>
        <v>367.6806</v>
      </c>
      <c r="BH33" s="20">
        <f>F33*AO33</f>
        <v>0</v>
      </c>
      <c r="BI33" s="20">
        <f>F33*AP33</f>
        <v>0</v>
      </c>
      <c r="BJ33" s="20">
        <f>F33*G33</f>
        <v>0</v>
      </c>
      <c r="BK33" s="20" t="s">
        <v>238</v>
      </c>
      <c r="BL33" s="39">
        <v>56</v>
      </c>
    </row>
    <row r="34" spans="1:64" ht="12.75">
      <c r="A34" s="89" t="s">
        <v>23</v>
      </c>
      <c r="B34" s="12"/>
      <c r="C34" s="12" t="s">
        <v>74</v>
      </c>
      <c r="D34" s="12" t="s">
        <v>135</v>
      </c>
      <c r="E34" s="12" t="s">
        <v>180</v>
      </c>
      <c r="F34" s="20">
        <v>78</v>
      </c>
      <c r="G34" s="20"/>
      <c r="H34" s="20"/>
      <c r="I34" s="20"/>
      <c r="J34" s="20"/>
      <c r="K34" s="20">
        <v>0.55125</v>
      </c>
      <c r="L34" s="20">
        <f>F34*K34</f>
        <v>42.9975</v>
      </c>
      <c r="M34" s="33" t="s">
        <v>205</v>
      </c>
      <c r="N34" s="37"/>
      <c r="Z34" s="39">
        <f>IF(AQ34="5",BJ34,0)</f>
        <v>0</v>
      </c>
      <c r="AB34" s="39">
        <f>IF(AQ34="1",BH34,0)</f>
        <v>0</v>
      </c>
      <c r="AC34" s="39">
        <f>IF(AQ34="1",BI34,0)</f>
        <v>0</v>
      </c>
      <c r="AD34" s="39">
        <f>IF(AQ34="7",BH34,0)</f>
        <v>0</v>
      </c>
      <c r="AE34" s="39">
        <f>IF(AQ34="7",BI34,0)</f>
        <v>0</v>
      </c>
      <c r="AF34" s="39">
        <f>IF(AQ34="2",BH34,0)</f>
        <v>0</v>
      </c>
      <c r="AG34" s="39">
        <f>IF(AQ34="2",BI34,0)</f>
        <v>0</v>
      </c>
      <c r="AH34" s="39">
        <f>IF(AQ34="0",BJ34,0)</f>
        <v>0</v>
      </c>
      <c r="AI34" s="29"/>
      <c r="AJ34" s="20">
        <f>IF(AN34=0,J34,0)</f>
        <v>0</v>
      </c>
      <c r="AK34" s="20">
        <f>IF(AN34=15,J34,0)</f>
        <v>0</v>
      </c>
      <c r="AL34" s="20">
        <f>IF(AN34=21,J34,0)</f>
        <v>0</v>
      </c>
      <c r="AN34" s="39">
        <v>15</v>
      </c>
      <c r="AO34" s="39">
        <f>G34*0.883475585186271</f>
        <v>0</v>
      </c>
      <c r="AP34" s="39">
        <f>G34*(1-0.883475585186271)</f>
        <v>0</v>
      </c>
      <c r="AQ34" s="40" t="s">
        <v>7</v>
      </c>
      <c r="AV34" s="39">
        <f>AW34+AX34</f>
        <v>0</v>
      </c>
      <c r="AW34" s="39">
        <f>F34*AO34</f>
        <v>0</v>
      </c>
      <c r="AX34" s="39">
        <f>F34*AP34</f>
        <v>0</v>
      </c>
      <c r="AY34" s="42" t="s">
        <v>221</v>
      </c>
      <c r="AZ34" s="42" t="s">
        <v>230</v>
      </c>
      <c r="BA34" s="29" t="s">
        <v>233</v>
      </c>
      <c r="BC34" s="39">
        <f>AW34+AX34</f>
        <v>0</v>
      </c>
      <c r="BD34" s="39">
        <f>G34/(100-BE34)*100</f>
        <v>0</v>
      </c>
      <c r="BE34" s="39">
        <v>0</v>
      </c>
      <c r="BF34" s="39">
        <f>L34</f>
        <v>42.9975</v>
      </c>
      <c r="BH34" s="20">
        <f>F34*AO34</f>
        <v>0</v>
      </c>
      <c r="BI34" s="20">
        <f>F34*AP34</f>
        <v>0</v>
      </c>
      <c r="BJ34" s="20">
        <f>F34*G34</f>
        <v>0</v>
      </c>
      <c r="BK34" s="20" t="s">
        <v>238</v>
      </c>
      <c r="BL34" s="39">
        <v>56</v>
      </c>
    </row>
    <row r="35" spans="1:64" ht="12.75">
      <c r="A35" s="89" t="s">
        <v>24</v>
      </c>
      <c r="B35" s="12"/>
      <c r="C35" s="12" t="s">
        <v>75</v>
      </c>
      <c r="D35" s="12" t="s">
        <v>136</v>
      </c>
      <c r="E35" s="12" t="s">
        <v>180</v>
      </c>
      <c r="F35" s="20">
        <v>121.35</v>
      </c>
      <c r="G35" s="20"/>
      <c r="H35" s="20"/>
      <c r="I35" s="20"/>
      <c r="J35" s="20"/>
      <c r="K35" s="20">
        <v>0.18463</v>
      </c>
      <c r="L35" s="20">
        <f>F35*K35</f>
        <v>22.4048505</v>
      </c>
      <c r="M35" s="33" t="s">
        <v>205</v>
      </c>
      <c r="N35" s="37"/>
      <c r="Z35" s="39">
        <f>IF(AQ35="5",BJ35,0)</f>
        <v>0</v>
      </c>
      <c r="AB35" s="39">
        <f>IF(AQ35="1",BH35,0)</f>
        <v>0</v>
      </c>
      <c r="AC35" s="39">
        <f>IF(AQ35="1",BI35,0)</f>
        <v>0</v>
      </c>
      <c r="AD35" s="39">
        <f>IF(AQ35="7",BH35,0)</f>
        <v>0</v>
      </c>
      <c r="AE35" s="39">
        <f>IF(AQ35="7",BI35,0)</f>
        <v>0</v>
      </c>
      <c r="AF35" s="39">
        <f>IF(AQ35="2",BH35,0)</f>
        <v>0</v>
      </c>
      <c r="AG35" s="39">
        <f>IF(AQ35="2",BI35,0)</f>
        <v>0</v>
      </c>
      <c r="AH35" s="39">
        <f>IF(AQ35="0",BJ35,0)</f>
        <v>0</v>
      </c>
      <c r="AI35" s="29"/>
      <c r="AJ35" s="20">
        <f>IF(AN35=0,J35,0)</f>
        <v>0</v>
      </c>
      <c r="AK35" s="20">
        <f>IF(AN35=15,J35,0)</f>
        <v>0</v>
      </c>
      <c r="AL35" s="20">
        <f>IF(AN35=21,J35,0)</f>
        <v>0</v>
      </c>
      <c r="AN35" s="39">
        <v>15</v>
      </c>
      <c r="AO35" s="39">
        <f>G35*0.7999124962647</f>
        <v>0</v>
      </c>
      <c r="AP35" s="39">
        <f>G35*(1-0.7999124962647)</f>
        <v>0</v>
      </c>
      <c r="AQ35" s="40" t="s">
        <v>7</v>
      </c>
      <c r="AV35" s="39">
        <f>AW35+AX35</f>
        <v>0</v>
      </c>
      <c r="AW35" s="39">
        <f>F35*AO35</f>
        <v>0</v>
      </c>
      <c r="AX35" s="39">
        <f>F35*AP35</f>
        <v>0</v>
      </c>
      <c r="AY35" s="42" t="s">
        <v>221</v>
      </c>
      <c r="AZ35" s="42" t="s">
        <v>230</v>
      </c>
      <c r="BA35" s="29" t="s">
        <v>233</v>
      </c>
      <c r="BC35" s="39">
        <f>AW35+AX35</f>
        <v>0</v>
      </c>
      <c r="BD35" s="39">
        <f>G35/(100-BE35)*100</f>
        <v>0</v>
      </c>
      <c r="BE35" s="39">
        <v>0</v>
      </c>
      <c r="BF35" s="39">
        <f>L35</f>
        <v>22.4048505</v>
      </c>
      <c r="BH35" s="20">
        <f>F35*AO35</f>
        <v>0</v>
      </c>
      <c r="BI35" s="20">
        <f>F35*AP35</f>
        <v>0</v>
      </c>
      <c r="BJ35" s="20">
        <f>F35*G35</f>
        <v>0</v>
      </c>
      <c r="BK35" s="20" t="s">
        <v>238</v>
      </c>
      <c r="BL35" s="39">
        <v>56</v>
      </c>
    </row>
    <row r="36" spans="1:47" ht="12.75">
      <c r="A36" s="5"/>
      <c r="B36" s="13"/>
      <c r="C36" s="13" t="s">
        <v>76</v>
      </c>
      <c r="D36" s="13" t="s">
        <v>137</v>
      </c>
      <c r="E36" s="18" t="s">
        <v>6</v>
      </c>
      <c r="F36" s="18" t="s">
        <v>6</v>
      </c>
      <c r="G36" s="18"/>
      <c r="H36" s="45"/>
      <c r="I36" s="45"/>
      <c r="J36" s="45"/>
      <c r="K36" s="29"/>
      <c r="L36" s="45">
        <f>SUM(L37:L37)</f>
        <v>12.5876355</v>
      </c>
      <c r="M36" s="34"/>
      <c r="N36" s="37"/>
      <c r="AI36" s="29"/>
      <c r="AS36" s="45">
        <f>SUM(AJ37:AJ37)</f>
        <v>0</v>
      </c>
      <c r="AT36" s="45">
        <f>SUM(AK37:AK37)</f>
        <v>0</v>
      </c>
      <c r="AU36" s="45">
        <f>SUM(AL37:AL37)</f>
        <v>0</v>
      </c>
    </row>
    <row r="37" spans="1:64" ht="12.75">
      <c r="A37" s="89" t="s">
        <v>25</v>
      </c>
      <c r="B37" s="12"/>
      <c r="C37" s="12" t="s">
        <v>77</v>
      </c>
      <c r="D37" s="12" t="s">
        <v>138</v>
      </c>
      <c r="E37" s="12" t="s">
        <v>180</v>
      </c>
      <c r="F37" s="20">
        <v>121.35</v>
      </c>
      <c r="G37" s="20"/>
      <c r="H37" s="20"/>
      <c r="I37" s="20"/>
      <c r="J37" s="20"/>
      <c r="K37" s="20">
        <v>0.10373</v>
      </c>
      <c r="L37" s="20">
        <f>F37*K37</f>
        <v>12.5876355</v>
      </c>
      <c r="M37" s="33" t="s">
        <v>205</v>
      </c>
      <c r="N37" s="37"/>
      <c r="Z37" s="39">
        <f>IF(AQ37="5",BJ37,0)</f>
        <v>0</v>
      </c>
      <c r="AB37" s="39">
        <f>IF(AQ37="1",BH37,0)</f>
        <v>0</v>
      </c>
      <c r="AC37" s="39">
        <f>IF(AQ37="1",BI37,0)</f>
        <v>0</v>
      </c>
      <c r="AD37" s="39">
        <f>IF(AQ37="7",BH37,0)</f>
        <v>0</v>
      </c>
      <c r="AE37" s="39">
        <f>IF(AQ37="7",BI37,0)</f>
        <v>0</v>
      </c>
      <c r="AF37" s="39">
        <f>IF(AQ37="2",BH37,0)</f>
        <v>0</v>
      </c>
      <c r="AG37" s="39">
        <f>IF(AQ37="2",BI37,0)</f>
        <v>0</v>
      </c>
      <c r="AH37" s="39">
        <f>IF(AQ37="0",BJ37,0)</f>
        <v>0</v>
      </c>
      <c r="AI37" s="29"/>
      <c r="AJ37" s="20">
        <f>IF(AN37=0,J37,0)</f>
        <v>0</v>
      </c>
      <c r="AK37" s="20">
        <f>IF(AN37=15,J37,0)</f>
        <v>0</v>
      </c>
      <c r="AL37" s="20">
        <f>IF(AN37=21,J37,0)</f>
        <v>0</v>
      </c>
      <c r="AN37" s="39">
        <v>15</v>
      </c>
      <c r="AO37" s="39">
        <f>G37*0.748677139866516</f>
        <v>0</v>
      </c>
      <c r="AP37" s="39">
        <f>G37*(1-0.748677139866516)</f>
        <v>0</v>
      </c>
      <c r="AQ37" s="40" t="s">
        <v>7</v>
      </c>
      <c r="AV37" s="39">
        <f>AW37+AX37</f>
        <v>0</v>
      </c>
      <c r="AW37" s="39">
        <f>F37*AO37</f>
        <v>0</v>
      </c>
      <c r="AX37" s="39">
        <f>F37*AP37</f>
        <v>0</v>
      </c>
      <c r="AY37" s="42" t="s">
        <v>222</v>
      </c>
      <c r="AZ37" s="42" t="s">
        <v>230</v>
      </c>
      <c r="BA37" s="29" t="s">
        <v>233</v>
      </c>
      <c r="BC37" s="39">
        <f>AW37+AX37</f>
        <v>0</v>
      </c>
      <c r="BD37" s="39">
        <f>G37/(100-BE37)*100</f>
        <v>0</v>
      </c>
      <c r="BE37" s="39">
        <v>0</v>
      </c>
      <c r="BF37" s="39">
        <f>L37</f>
        <v>12.5876355</v>
      </c>
      <c r="BH37" s="20">
        <f>F37*AO37</f>
        <v>0</v>
      </c>
      <c r="BI37" s="20">
        <f>F37*AP37</f>
        <v>0</v>
      </c>
      <c r="BJ37" s="20">
        <f>F37*G37</f>
        <v>0</v>
      </c>
      <c r="BK37" s="20" t="s">
        <v>238</v>
      </c>
      <c r="BL37" s="39">
        <v>57</v>
      </c>
    </row>
    <row r="38" spans="1:47" ht="12.75">
      <c r="A38" s="5"/>
      <c r="B38" s="13"/>
      <c r="C38" s="13" t="s">
        <v>78</v>
      </c>
      <c r="D38" s="13" t="s">
        <v>139</v>
      </c>
      <c r="E38" s="18" t="s">
        <v>6</v>
      </c>
      <c r="F38" s="18" t="s">
        <v>6</v>
      </c>
      <c r="G38" s="18"/>
      <c r="H38" s="45"/>
      <c r="I38" s="45"/>
      <c r="J38" s="45"/>
      <c r="K38" s="29"/>
      <c r="L38" s="45">
        <f>SUM(L39:L44)</f>
        <v>153.51672000000002</v>
      </c>
      <c r="M38" s="34"/>
      <c r="N38" s="37"/>
      <c r="AI38" s="29"/>
      <c r="AS38" s="45">
        <f>SUM(AJ39:AJ44)</f>
        <v>0</v>
      </c>
      <c r="AT38" s="45">
        <f>SUM(AK39:AK44)</f>
        <v>0</v>
      </c>
      <c r="AU38" s="45">
        <f>SUM(AL39:AL44)</f>
        <v>0</v>
      </c>
    </row>
    <row r="39" spans="1:64" ht="12.75">
      <c r="A39" s="89" t="s">
        <v>26</v>
      </c>
      <c r="B39" s="12"/>
      <c r="C39" s="12" t="s">
        <v>79</v>
      </c>
      <c r="D39" s="12" t="s">
        <v>140</v>
      </c>
      <c r="E39" s="12" t="s">
        <v>180</v>
      </c>
      <c r="F39" s="20">
        <v>685</v>
      </c>
      <c r="G39" s="20"/>
      <c r="H39" s="20"/>
      <c r="I39" s="20"/>
      <c r="J39" s="20"/>
      <c r="K39" s="20">
        <v>0.0739</v>
      </c>
      <c r="L39" s="20">
        <f aca="true" t="shared" si="0" ref="L39:L44">F39*K39</f>
        <v>50.6215</v>
      </c>
      <c r="M39" s="33" t="s">
        <v>205</v>
      </c>
      <c r="N39" s="37"/>
      <c r="Z39" s="39">
        <f aca="true" t="shared" si="1" ref="Z39:Z44">IF(AQ39="5",BJ39,0)</f>
        <v>0</v>
      </c>
      <c r="AB39" s="39">
        <f aca="true" t="shared" si="2" ref="AB39:AB44">IF(AQ39="1",BH39,0)</f>
        <v>0</v>
      </c>
      <c r="AC39" s="39">
        <f aca="true" t="shared" si="3" ref="AC39:AC44">IF(AQ39="1",BI39,0)</f>
        <v>0</v>
      </c>
      <c r="AD39" s="39">
        <f aca="true" t="shared" si="4" ref="AD39:AD44">IF(AQ39="7",BH39,0)</f>
        <v>0</v>
      </c>
      <c r="AE39" s="39">
        <f aca="true" t="shared" si="5" ref="AE39:AE44">IF(AQ39="7",BI39,0)</f>
        <v>0</v>
      </c>
      <c r="AF39" s="39">
        <f aca="true" t="shared" si="6" ref="AF39:AF44">IF(AQ39="2",BH39,0)</f>
        <v>0</v>
      </c>
      <c r="AG39" s="39">
        <f aca="true" t="shared" si="7" ref="AG39:AG44">IF(AQ39="2",BI39,0)</f>
        <v>0</v>
      </c>
      <c r="AH39" s="39">
        <f aca="true" t="shared" si="8" ref="AH39:AH44">IF(AQ39="0",BJ39,0)</f>
        <v>0</v>
      </c>
      <c r="AI39" s="29"/>
      <c r="AJ39" s="20">
        <f aca="true" t="shared" si="9" ref="AJ39:AJ44">IF(AN39=0,J39,0)</f>
        <v>0</v>
      </c>
      <c r="AK39" s="20">
        <f aca="true" t="shared" si="10" ref="AK39:AK44">IF(AN39=15,J39,0)</f>
        <v>0</v>
      </c>
      <c r="AL39" s="20">
        <f aca="true" t="shared" si="11" ref="AL39:AL44">IF(AN39=21,J39,0)</f>
        <v>0</v>
      </c>
      <c r="AN39" s="39">
        <v>15</v>
      </c>
      <c r="AO39" s="39">
        <f>G39*0.153709981167608</f>
        <v>0</v>
      </c>
      <c r="AP39" s="39">
        <f>G39*(1-0.153709981167608)</f>
        <v>0</v>
      </c>
      <c r="AQ39" s="40" t="s">
        <v>7</v>
      </c>
      <c r="AV39" s="39">
        <f aca="true" t="shared" si="12" ref="AV39:AV44">AW39+AX39</f>
        <v>0</v>
      </c>
      <c r="AW39" s="39">
        <f aca="true" t="shared" si="13" ref="AW39:AW44">F39*AO39</f>
        <v>0</v>
      </c>
      <c r="AX39" s="39">
        <f aca="true" t="shared" si="14" ref="AX39:AX44">F39*AP39</f>
        <v>0</v>
      </c>
      <c r="AY39" s="42" t="s">
        <v>223</v>
      </c>
      <c r="AZ39" s="42" t="s">
        <v>230</v>
      </c>
      <c r="BA39" s="29" t="s">
        <v>233</v>
      </c>
      <c r="BC39" s="39">
        <f aca="true" t="shared" si="15" ref="BC39:BC44">AW39+AX39</f>
        <v>0</v>
      </c>
      <c r="BD39" s="39">
        <f aca="true" t="shared" si="16" ref="BD39:BD44">G39/(100-BE39)*100</f>
        <v>0</v>
      </c>
      <c r="BE39" s="39">
        <v>0</v>
      </c>
      <c r="BF39" s="39">
        <f aca="true" t="shared" si="17" ref="BF39:BF44">L39</f>
        <v>50.6215</v>
      </c>
      <c r="BH39" s="20">
        <f aca="true" t="shared" si="18" ref="BH39:BH44">F39*AO39</f>
        <v>0</v>
      </c>
      <c r="BI39" s="20">
        <f aca="true" t="shared" si="19" ref="BI39:BI44">F39*AP39</f>
        <v>0</v>
      </c>
      <c r="BJ39" s="20">
        <f aca="true" t="shared" si="20" ref="BJ39:BJ44">F39*G39</f>
        <v>0</v>
      </c>
      <c r="BK39" s="20" t="s">
        <v>238</v>
      </c>
      <c r="BL39" s="39">
        <v>59</v>
      </c>
    </row>
    <row r="40" spans="1:64" ht="12.75">
      <c r="A40" s="90" t="s">
        <v>27</v>
      </c>
      <c r="B40" s="14"/>
      <c r="C40" s="14" t="s">
        <v>80</v>
      </c>
      <c r="D40" s="14" t="s">
        <v>141</v>
      </c>
      <c r="E40" s="14" t="s">
        <v>180</v>
      </c>
      <c r="F40" s="21">
        <v>39</v>
      </c>
      <c r="G40" s="21"/>
      <c r="H40" s="21"/>
      <c r="I40" s="21"/>
      <c r="J40" s="21"/>
      <c r="K40" s="21">
        <v>0.131</v>
      </c>
      <c r="L40" s="21">
        <f t="shared" si="0"/>
        <v>5.109</v>
      </c>
      <c r="M40" s="35" t="s">
        <v>205</v>
      </c>
      <c r="N40" s="37"/>
      <c r="Z40" s="39">
        <f t="shared" si="1"/>
        <v>0</v>
      </c>
      <c r="AB40" s="39">
        <f t="shared" si="2"/>
        <v>0</v>
      </c>
      <c r="AC40" s="39">
        <f t="shared" si="3"/>
        <v>0</v>
      </c>
      <c r="AD40" s="39">
        <f t="shared" si="4"/>
        <v>0</v>
      </c>
      <c r="AE40" s="39">
        <f t="shared" si="5"/>
        <v>0</v>
      </c>
      <c r="AF40" s="39">
        <f t="shared" si="6"/>
        <v>0</v>
      </c>
      <c r="AG40" s="39">
        <f t="shared" si="7"/>
        <v>0</v>
      </c>
      <c r="AH40" s="39">
        <f t="shared" si="8"/>
        <v>0</v>
      </c>
      <c r="AI40" s="29"/>
      <c r="AJ40" s="21">
        <f t="shared" si="9"/>
        <v>0</v>
      </c>
      <c r="AK40" s="21">
        <f t="shared" si="10"/>
        <v>0</v>
      </c>
      <c r="AL40" s="21">
        <f t="shared" si="11"/>
        <v>0</v>
      </c>
      <c r="AN40" s="39">
        <v>15</v>
      </c>
      <c r="AO40" s="39">
        <f>G40*1</f>
        <v>0</v>
      </c>
      <c r="AP40" s="39">
        <f>G40*(1-1)</f>
        <v>0</v>
      </c>
      <c r="AQ40" s="41" t="s">
        <v>7</v>
      </c>
      <c r="AV40" s="39">
        <f t="shared" si="12"/>
        <v>0</v>
      </c>
      <c r="AW40" s="39">
        <f t="shared" si="13"/>
        <v>0</v>
      </c>
      <c r="AX40" s="39">
        <f t="shared" si="14"/>
        <v>0</v>
      </c>
      <c r="AY40" s="42" t="s">
        <v>223</v>
      </c>
      <c r="AZ40" s="42" t="s">
        <v>230</v>
      </c>
      <c r="BA40" s="29" t="s">
        <v>233</v>
      </c>
      <c r="BC40" s="39">
        <f t="shared" si="15"/>
        <v>0</v>
      </c>
      <c r="BD40" s="39">
        <f t="shared" si="16"/>
        <v>0</v>
      </c>
      <c r="BE40" s="39">
        <v>0</v>
      </c>
      <c r="BF40" s="39">
        <f t="shared" si="17"/>
        <v>5.109</v>
      </c>
      <c r="BH40" s="21">
        <f t="shared" si="18"/>
        <v>0</v>
      </c>
      <c r="BI40" s="21">
        <f t="shared" si="19"/>
        <v>0</v>
      </c>
      <c r="BJ40" s="21">
        <f t="shared" si="20"/>
        <v>0</v>
      </c>
      <c r="BK40" s="21" t="s">
        <v>239</v>
      </c>
      <c r="BL40" s="39">
        <v>59</v>
      </c>
    </row>
    <row r="41" spans="1:64" ht="12.75">
      <c r="A41" s="90" t="s">
        <v>28</v>
      </c>
      <c r="B41" s="14"/>
      <c r="C41" s="14" t="s">
        <v>81</v>
      </c>
      <c r="D41" s="14" t="s">
        <v>142</v>
      </c>
      <c r="E41" s="14" t="s">
        <v>180</v>
      </c>
      <c r="F41" s="21">
        <v>654</v>
      </c>
      <c r="G41" s="21"/>
      <c r="H41" s="21"/>
      <c r="I41" s="21"/>
      <c r="J41" s="21"/>
      <c r="K41" s="21">
        <v>0.131</v>
      </c>
      <c r="L41" s="21">
        <f t="shared" si="0"/>
        <v>85.674</v>
      </c>
      <c r="M41" s="35" t="s">
        <v>205</v>
      </c>
      <c r="N41" s="37"/>
      <c r="Z41" s="39">
        <f t="shared" si="1"/>
        <v>0</v>
      </c>
      <c r="AB41" s="39">
        <f t="shared" si="2"/>
        <v>0</v>
      </c>
      <c r="AC41" s="39">
        <f t="shared" si="3"/>
        <v>0</v>
      </c>
      <c r="AD41" s="39">
        <f t="shared" si="4"/>
        <v>0</v>
      </c>
      <c r="AE41" s="39">
        <f t="shared" si="5"/>
        <v>0</v>
      </c>
      <c r="AF41" s="39">
        <f t="shared" si="6"/>
        <v>0</v>
      </c>
      <c r="AG41" s="39">
        <f t="shared" si="7"/>
        <v>0</v>
      </c>
      <c r="AH41" s="39">
        <f t="shared" si="8"/>
        <v>0</v>
      </c>
      <c r="AI41" s="29"/>
      <c r="AJ41" s="21">
        <f t="shared" si="9"/>
        <v>0</v>
      </c>
      <c r="AK41" s="21">
        <f t="shared" si="10"/>
        <v>0</v>
      </c>
      <c r="AL41" s="21">
        <f t="shared" si="11"/>
        <v>0</v>
      </c>
      <c r="AN41" s="39">
        <v>15</v>
      </c>
      <c r="AO41" s="39">
        <f>G41*1</f>
        <v>0</v>
      </c>
      <c r="AP41" s="39">
        <f>G41*(1-1)</f>
        <v>0</v>
      </c>
      <c r="AQ41" s="41" t="s">
        <v>7</v>
      </c>
      <c r="AV41" s="39">
        <f t="shared" si="12"/>
        <v>0</v>
      </c>
      <c r="AW41" s="39">
        <f t="shared" si="13"/>
        <v>0</v>
      </c>
      <c r="AX41" s="39">
        <f t="shared" si="14"/>
        <v>0</v>
      </c>
      <c r="AY41" s="42" t="s">
        <v>223</v>
      </c>
      <c r="AZ41" s="42" t="s">
        <v>230</v>
      </c>
      <c r="BA41" s="29" t="s">
        <v>233</v>
      </c>
      <c r="BC41" s="39">
        <f t="shared" si="15"/>
        <v>0</v>
      </c>
      <c r="BD41" s="39">
        <f t="shared" si="16"/>
        <v>0</v>
      </c>
      <c r="BE41" s="39">
        <v>0</v>
      </c>
      <c r="BF41" s="39">
        <f t="shared" si="17"/>
        <v>85.674</v>
      </c>
      <c r="BH41" s="21">
        <f t="shared" si="18"/>
        <v>0</v>
      </c>
      <c r="BI41" s="21">
        <f t="shared" si="19"/>
        <v>0</v>
      </c>
      <c r="BJ41" s="21">
        <f t="shared" si="20"/>
        <v>0</v>
      </c>
      <c r="BK41" s="21" t="s">
        <v>239</v>
      </c>
      <c r="BL41" s="39">
        <v>59</v>
      </c>
    </row>
    <row r="42" spans="1:64" ht="12.75">
      <c r="A42" s="89" t="s">
        <v>29</v>
      </c>
      <c r="B42" s="12"/>
      <c r="C42" s="12" t="s">
        <v>82</v>
      </c>
      <c r="D42" s="12" t="s">
        <v>143</v>
      </c>
      <c r="E42" s="12" t="s">
        <v>180</v>
      </c>
      <c r="F42" s="20">
        <v>45</v>
      </c>
      <c r="G42" s="20"/>
      <c r="H42" s="20"/>
      <c r="I42" s="20"/>
      <c r="J42" s="20"/>
      <c r="K42" s="20">
        <v>0.0739</v>
      </c>
      <c r="L42" s="20">
        <f t="shared" si="0"/>
        <v>3.3255</v>
      </c>
      <c r="M42" s="33" t="s">
        <v>205</v>
      </c>
      <c r="N42" s="37"/>
      <c r="Z42" s="39">
        <f t="shared" si="1"/>
        <v>0</v>
      </c>
      <c r="AB42" s="39">
        <f t="shared" si="2"/>
        <v>0</v>
      </c>
      <c r="AC42" s="39">
        <f t="shared" si="3"/>
        <v>0</v>
      </c>
      <c r="AD42" s="39">
        <f t="shared" si="4"/>
        <v>0</v>
      </c>
      <c r="AE42" s="39">
        <f t="shared" si="5"/>
        <v>0</v>
      </c>
      <c r="AF42" s="39">
        <f t="shared" si="6"/>
        <v>0</v>
      </c>
      <c r="AG42" s="39">
        <f t="shared" si="7"/>
        <v>0</v>
      </c>
      <c r="AH42" s="39">
        <f t="shared" si="8"/>
        <v>0</v>
      </c>
      <c r="AI42" s="29"/>
      <c r="AJ42" s="20">
        <f t="shared" si="9"/>
        <v>0</v>
      </c>
      <c r="AK42" s="20">
        <f t="shared" si="10"/>
        <v>0</v>
      </c>
      <c r="AL42" s="20">
        <f t="shared" si="11"/>
        <v>0</v>
      </c>
      <c r="AN42" s="39">
        <v>15</v>
      </c>
      <c r="AO42" s="39">
        <f>G42*0.146010733452594</f>
        <v>0</v>
      </c>
      <c r="AP42" s="39">
        <f>G42*(1-0.146010733452594)</f>
        <v>0</v>
      </c>
      <c r="AQ42" s="40" t="s">
        <v>7</v>
      </c>
      <c r="AV42" s="39">
        <f t="shared" si="12"/>
        <v>0</v>
      </c>
      <c r="AW42" s="39">
        <f t="shared" si="13"/>
        <v>0</v>
      </c>
      <c r="AX42" s="39">
        <f t="shared" si="14"/>
        <v>0</v>
      </c>
      <c r="AY42" s="42" t="s">
        <v>223</v>
      </c>
      <c r="AZ42" s="42" t="s">
        <v>230</v>
      </c>
      <c r="BA42" s="29" t="s">
        <v>233</v>
      </c>
      <c r="BC42" s="39">
        <f t="shared" si="15"/>
        <v>0</v>
      </c>
      <c r="BD42" s="39">
        <f t="shared" si="16"/>
        <v>0</v>
      </c>
      <c r="BE42" s="39">
        <v>0</v>
      </c>
      <c r="BF42" s="39">
        <f t="shared" si="17"/>
        <v>3.3255</v>
      </c>
      <c r="BH42" s="20">
        <f t="shared" si="18"/>
        <v>0</v>
      </c>
      <c r="BI42" s="20">
        <f t="shared" si="19"/>
        <v>0</v>
      </c>
      <c r="BJ42" s="20">
        <f t="shared" si="20"/>
        <v>0</v>
      </c>
      <c r="BK42" s="20" t="s">
        <v>238</v>
      </c>
      <c r="BL42" s="39">
        <v>59</v>
      </c>
    </row>
    <row r="43" spans="1:64" ht="12.75">
      <c r="A43" s="90" t="s">
        <v>30</v>
      </c>
      <c r="B43" s="14"/>
      <c r="C43" s="14" t="s">
        <v>83</v>
      </c>
      <c r="D43" s="14" t="s">
        <v>144</v>
      </c>
      <c r="E43" s="14" t="s">
        <v>180</v>
      </c>
      <c r="F43" s="21">
        <v>46.35</v>
      </c>
      <c r="G43" s="21"/>
      <c r="H43" s="21"/>
      <c r="I43" s="21"/>
      <c r="J43" s="21"/>
      <c r="K43" s="21">
        <v>0.176</v>
      </c>
      <c r="L43" s="21">
        <f t="shared" si="0"/>
        <v>8.1576</v>
      </c>
      <c r="M43" s="35" t="s">
        <v>206</v>
      </c>
      <c r="N43" s="37"/>
      <c r="Z43" s="39">
        <f t="shared" si="1"/>
        <v>0</v>
      </c>
      <c r="AB43" s="39">
        <f t="shared" si="2"/>
        <v>0</v>
      </c>
      <c r="AC43" s="39">
        <f t="shared" si="3"/>
        <v>0</v>
      </c>
      <c r="AD43" s="39">
        <f t="shared" si="4"/>
        <v>0</v>
      </c>
      <c r="AE43" s="39">
        <f t="shared" si="5"/>
        <v>0</v>
      </c>
      <c r="AF43" s="39">
        <f t="shared" si="6"/>
        <v>0</v>
      </c>
      <c r="AG43" s="39">
        <f t="shared" si="7"/>
        <v>0</v>
      </c>
      <c r="AH43" s="39">
        <f t="shared" si="8"/>
        <v>0</v>
      </c>
      <c r="AI43" s="29"/>
      <c r="AJ43" s="21">
        <f t="shared" si="9"/>
        <v>0</v>
      </c>
      <c r="AK43" s="21">
        <f t="shared" si="10"/>
        <v>0</v>
      </c>
      <c r="AL43" s="21">
        <f t="shared" si="11"/>
        <v>0</v>
      </c>
      <c r="AN43" s="39">
        <v>15</v>
      </c>
      <c r="AO43" s="39">
        <f>G43*1</f>
        <v>0</v>
      </c>
      <c r="AP43" s="39">
        <f>G43*(1-1)</f>
        <v>0</v>
      </c>
      <c r="AQ43" s="41" t="s">
        <v>7</v>
      </c>
      <c r="AV43" s="39">
        <f t="shared" si="12"/>
        <v>0</v>
      </c>
      <c r="AW43" s="39">
        <f t="shared" si="13"/>
        <v>0</v>
      </c>
      <c r="AX43" s="39">
        <f t="shared" si="14"/>
        <v>0</v>
      </c>
      <c r="AY43" s="42" t="s">
        <v>223</v>
      </c>
      <c r="AZ43" s="42" t="s">
        <v>230</v>
      </c>
      <c r="BA43" s="29" t="s">
        <v>233</v>
      </c>
      <c r="BC43" s="39">
        <f t="shared" si="15"/>
        <v>0</v>
      </c>
      <c r="BD43" s="39">
        <f t="shared" si="16"/>
        <v>0</v>
      </c>
      <c r="BE43" s="39">
        <v>0</v>
      </c>
      <c r="BF43" s="39">
        <f t="shared" si="17"/>
        <v>8.1576</v>
      </c>
      <c r="BH43" s="21">
        <f t="shared" si="18"/>
        <v>0</v>
      </c>
      <c r="BI43" s="21">
        <f t="shared" si="19"/>
        <v>0</v>
      </c>
      <c r="BJ43" s="21">
        <f t="shared" si="20"/>
        <v>0</v>
      </c>
      <c r="BK43" s="21" t="s">
        <v>239</v>
      </c>
      <c r="BL43" s="39">
        <v>59</v>
      </c>
    </row>
    <row r="44" spans="1:64" ht="12.75">
      <c r="A44" s="89" t="s">
        <v>31</v>
      </c>
      <c r="B44" s="12"/>
      <c r="C44" s="12" t="s">
        <v>84</v>
      </c>
      <c r="D44" s="12" t="s">
        <v>145</v>
      </c>
      <c r="E44" s="12" t="s">
        <v>183</v>
      </c>
      <c r="F44" s="20">
        <v>4</v>
      </c>
      <c r="G44" s="20"/>
      <c r="H44" s="20"/>
      <c r="I44" s="20"/>
      <c r="J44" s="20"/>
      <c r="K44" s="20">
        <v>0.15728</v>
      </c>
      <c r="L44" s="20">
        <f t="shared" si="0"/>
        <v>0.62912</v>
      </c>
      <c r="M44" s="33" t="s">
        <v>205</v>
      </c>
      <c r="N44" s="37"/>
      <c r="Z44" s="39">
        <f t="shared" si="1"/>
        <v>0</v>
      </c>
      <c r="AB44" s="39">
        <f t="shared" si="2"/>
        <v>0</v>
      </c>
      <c r="AC44" s="39">
        <f t="shared" si="3"/>
        <v>0</v>
      </c>
      <c r="AD44" s="39">
        <f t="shared" si="4"/>
        <v>0</v>
      </c>
      <c r="AE44" s="39">
        <f t="shared" si="5"/>
        <v>0</v>
      </c>
      <c r="AF44" s="39">
        <f t="shared" si="6"/>
        <v>0</v>
      </c>
      <c r="AG44" s="39">
        <f t="shared" si="7"/>
        <v>0</v>
      </c>
      <c r="AH44" s="39">
        <f t="shared" si="8"/>
        <v>0</v>
      </c>
      <c r="AI44" s="29"/>
      <c r="AJ44" s="20">
        <f t="shared" si="9"/>
        <v>0</v>
      </c>
      <c r="AK44" s="20">
        <f t="shared" si="10"/>
        <v>0</v>
      </c>
      <c r="AL44" s="20">
        <f t="shared" si="11"/>
        <v>0</v>
      </c>
      <c r="AN44" s="39">
        <v>15</v>
      </c>
      <c r="AO44" s="39">
        <f>G44*0.95568986083499</f>
        <v>0</v>
      </c>
      <c r="AP44" s="39">
        <f>G44*(1-0.95568986083499)</f>
        <v>0</v>
      </c>
      <c r="AQ44" s="40" t="s">
        <v>7</v>
      </c>
      <c r="AV44" s="39">
        <f t="shared" si="12"/>
        <v>0</v>
      </c>
      <c r="AW44" s="39">
        <f t="shared" si="13"/>
        <v>0</v>
      </c>
      <c r="AX44" s="39">
        <f t="shared" si="14"/>
        <v>0</v>
      </c>
      <c r="AY44" s="42" t="s">
        <v>223</v>
      </c>
      <c r="AZ44" s="42" t="s">
        <v>230</v>
      </c>
      <c r="BA44" s="29" t="s">
        <v>233</v>
      </c>
      <c r="BC44" s="39">
        <f t="shared" si="15"/>
        <v>0</v>
      </c>
      <c r="BD44" s="39">
        <f t="shared" si="16"/>
        <v>0</v>
      </c>
      <c r="BE44" s="39">
        <v>0</v>
      </c>
      <c r="BF44" s="39">
        <f t="shared" si="17"/>
        <v>0.62912</v>
      </c>
      <c r="BH44" s="20">
        <f t="shared" si="18"/>
        <v>0</v>
      </c>
      <c r="BI44" s="20">
        <f t="shared" si="19"/>
        <v>0</v>
      </c>
      <c r="BJ44" s="20">
        <f t="shared" si="20"/>
        <v>0</v>
      </c>
      <c r="BK44" s="20" t="s">
        <v>238</v>
      </c>
      <c r="BL44" s="39">
        <v>59</v>
      </c>
    </row>
    <row r="45" spans="1:47" ht="12.75">
      <c r="A45" s="5"/>
      <c r="B45" s="13"/>
      <c r="C45" s="13" t="s">
        <v>85</v>
      </c>
      <c r="D45" s="13" t="s">
        <v>146</v>
      </c>
      <c r="E45" s="18" t="s">
        <v>6</v>
      </c>
      <c r="F45" s="18" t="s">
        <v>6</v>
      </c>
      <c r="G45" s="18"/>
      <c r="H45" s="45"/>
      <c r="I45" s="45"/>
      <c r="J45" s="45"/>
      <c r="K45" s="29"/>
      <c r="L45" s="45">
        <f>SUM(L46:L48)</f>
        <v>18.46038</v>
      </c>
      <c r="M45" s="34"/>
      <c r="N45" s="37"/>
      <c r="AI45" s="29"/>
      <c r="AS45" s="45">
        <f>SUM(AJ46:AJ48)</f>
        <v>0</v>
      </c>
      <c r="AT45" s="45">
        <f>SUM(AK46:AK48)</f>
        <v>0</v>
      </c>
      <c r="AU45" s="45">
        <f>SUM(AL46:AL48)</f>
        <v>0</v>
      </c>
    </row>
    <row r="46" spans="1:64" ht="12.75">
      <c r="A46" s="89" t="s">
        <v>32</v>
      </c>
      <c r="B46" s="12"/>
      <c r="C46" s="12" t="s">
        <v>86</v>
      </c>
      <c r="D46" s="12" t="s">
        <v>147</v>
      </c>
      <c r="E46" s="12" t="s">
        <v>183</v>
      </c>
      <c r="F46" s="20">
        <v>5</v>
      </c>
      <c r="G46" s="20"/>
      <c r="H46" s="20"/>
      <c r="I46" s="20"/>
      <c r="J46" s="20"/>
      <c r="K46" s="20">
        <v>3.05967</v>
      </c>
      <c r="L46" s="20">
        <f>F46*K46</f>
        <v>15.298350000000001</v>
      </c>
      <c r="M46" s="33" t="s">
        <v>205</v>
      </c>
      <c r="N46" s="37"/>
      <c r="Z46" s="39">
        <f>IF(AQ46="5",BJ46,0)</f>
        <v>0</v>
      </c>
      <c r="AB46" s="39">
        <f>IF(AQ46="1",BH46,0)</f>
        <v>0</v>
      </c>
      <c r="AC46" s="39">
        <f>IF(AQ46="1",BI46,0)</f>
        <v>0</v>
      </c>
      <c r="AD46" s="39">
        <f>IF(AQ46="7",BH46,0)</f>
        <v>0</v>
      </c>
      <c r="AE46" s="39">
        <f>IF(AQ46="7",BI46,0)</f>
        <v>0</v>
      </c>
      <c r="AF46" s="39">
        <f>IF(AQ46="2",BH46,0)</f>
        <v>0</v>
      </c>
      <c r="AG46" s="39">
        <f>IF(AQ46="2",BI46,0)</f>
        <v>0</v>
      </c>
      <c r="AH46" s="39">
        <f>IF(AQ46="0",BJ46,0)</f>
        <v>0</v>
      </c>
      <c r="AI46" s="29"/>
      <c r="AJ46" s="20">
        <f>IF(AN46=0,J46,0)</f>
        <v>0</v>
      </c>
      <c r="AK46" s="20">
        <f>IF(AN46=15,J46,0)</f>
        <v>0</v>
      </c>
      <c r="AL46" s="20">
        <f>IF(AN46=21,J46,0)</f>
        <v>0</v>
      </c>
      <c r="AN46" s="39">
        <v>15</v>
      </c>
      <c r="AO46" s="39">
        <f>G46*0.761220046082949</f>
        <v>0</v>
      </c>
      <c r="AP46" s="39">
        <f>G46*(1-0.761220046082949)</f>
        <v>0</v>
      </c>
      <c r="AQ46" s="40" t="s">
        <v>7</v>
      </c>
      <c r="AV46" s="39">
        <f>AW46+AX46</f>
        <v>0</v>
      </c>
      <c r="AW46" s="39">
        <f>F46*AO46</f>
        <v>0</v>
      </c>
      <c r="AX46" s="39">
        <f>F46*AP46</f>
        <v>0</v>
      </c>
      <c r="AY46" s="42" t="s">
        <v>224</v>
      </c>
      <c r="AZ46" s="42" t="s">
        <v>231</v>
      </c>
      <c r="BA46" s="29" t="s">
        <v>233</v>
      </c>
      <c r="BC46" s="39">
        <f>AW46+AX46</f>
        <v>0</v>
      </c>
      <c r="BD46" s="39">
        <f>G46/(100-BE46)*100</f>
        <v>0</v>
      </c>
      <c r="BE46" s="39">
        <v>0</v>
      </c>
      <c r="BF46" s="39">
        <f>L46</f>
        <v>15.298350000000001</v>
      </c>
      <c r="BH46" s="20">
        <f>F46*AO46</f>
        <v>0</v>
      </c>
      <c r="BI46" s="20">
        <f>F46*AP46</f>
        <v>0</v>
      </c>
      <c r="BJ46" s="20">
        <f>F46*G46</f>
        <v>0</v>
      </c>
      <c r="BK46" s="20" t="s">
        <v>238</v>
      </c>
      <c r="BL46" s="39">
        <v>89</v>
      </c>
    </row>
    <row r="47" spans="1:64" ht="12.75">
      <c r="A47" s="89" t="s">
        <v>33</v>
      </c>
      <c r="B47" s="12"/>
      <c r="C47" s="12" t="s">
        <v>87</v>
      </c>
      <c r="D47" s="12" t="s">
        <v>148</v>
      </c>
      <c r="E47" s="12" t="s">
        <v>183</v>
      </c>
      <c r="F47" s="20">
        <v>1</v>
      </c>
      <c r="G47" s="20"/>
      <c r="H47" s="20"/>
      <c r="I47" s="20"/>
      <c r="J47" s="20"/>
      <c r="K47" s="20">
        <v>2.92003</v>
      </c>
      <c r="L47" s="20">
        <f>F47*K47</f>
        <v>2.92003</v>
      </c>
      <c r="M47" s="33" t="s">
        <v>205</v>
      </c>
      <c r="N47" s="37"/>
      <c r="Z47" s="39">
        <f>IF(AQ47="5",BJ47,0)</f>
        <v>0</v>
      </c>
      <c r="AB47" s="39">
        <f>IF(AQ47="1",BH47,0)</f>
        <v>0</v>
      </c>
      <c r="AC47" s="39">
        <f>IF(AQ47="1",BI47,0)</f>
        <v>0</v>
      </c>
      <c r="AD47" s="39">
        <f>IF(AQ47="7",BH47,0)</f>
        <v>0</v>
      </c>
      <c r="AE47" s="39">
        <f>IF(AQ47="7",BI47,0)</f>
        <v>0</v>
      </c>
      <c r="AF47" s="39">
        <f>IF(AQ47="2",BH47,0)</f>
        <v>0</v>
      </c>
      <c r="AG47" s="39">
        <f>IF(AQ47="2",BI47,0)</f>
        <v>0</v>
      </c>
      <c r="AH47" s="39">
        <f>IF(AQ47="0",BJ47,0)</f>
        <v>0</v>
      </c>
      <c r="AI47" s="29"/>
      <c r="AJ47" s="20">
        <f>IF(AN47=0,J47,0)</f>
        <v>0</v>
      </c>
      <c r="AK47" s="20">
        <f>IF(AN47=15,J47,0)</f>
        <v>0</v>
      </c>
      <c r="AL47" s="20">
        <f>IF(AN47=21,J47,0)</f>
        <v>0</v>
      </c>
      <c r="AN47" s="39">
        <v>15</v>
      </c>
      <c r="AO47" s="39">
        <f>G47*0.350882629107981</f>
        <v>0</v>
      </c>
      <c r="AP47" s="39">
        <f>G47*(1-0.350882629107981)</f>
        <v>0</v>
      </c>
      <c r="AQ47" s="40" t="s">
        <v>7</v>
      </c>
      <c r="AV47" s="39">
        <f>AW47+AX47</f>
        <v>0</v>
      </c>
      <c r="AW47" s="39">
        <f>F47*AO47</f>
        <v>0</v>
      </c>
      <c r="AX47" s="39">
        <f>F47*AP47</f>
        <v>0</v>
      </c>
      <c r="AY47" s="42" t="s">
        <v>224</v>
      </c>
      <c r="AZ47" s="42" t="s">
        <v>231</v>
      </c>
      <c r="BA47" s="29" t="s">
        <v>233</v>
      </c>
      <c r="BC47" s="39">
        <f>AW47+AX47</f>
        <v>0</v>
      </c>
      <c r="BD47" s="39">
        <f>G47/(100-BE47)*100</f>
        <v>0</v>
      </c>
      <c r="BE47" s="39">
        <v>0</v>
      </c>
      <c r="BF47" s="39">
        <f>L47</f>
        <v>2.92003</v>
      </c>
      <c r="BH47" s="20">
        <f>F47*AO47</f>
        <v>0</v>
      </c>
      <c r="BI47" s="20">
        <f>F47*AP47</f>
        <v>0</v>
      </c>
      <c r="BJ47" s="20">
        <f>F47*G47</f>
        <v>0</v>
      </c>
      <c r="BK47" s="20" t="s">
        <v>238</v>
      </c>
      <c r="BL47" s="39">
        <v>89</v>
      </c>
    </row>
    <row r="48" spans="1:64" ht="12.75">
      <c r="A48" s="90" t="s">
        <v>34</v>
      </c>
      <c r="B48" s="14"/>
      <c r="C48" s="14" t="s">
        <v>88</v>
      </c>
      <c r="D48" s="14" t="s">
        <v>149</v>
      </c>
      <c r="E48" s="14" t="s">
        <v>183</v>
      </c>
      <c r="F48" s="21">
        <v>1</v>
      </c>
      <c r="G48" s="21"/>
      <c r="H48" s="21"/>
      <c r="I48" s="21"/>
      <c r="J48" s="21"/>
      <c r="K48" s="21">
        <v>0.242</v>
      </c>
      <c r="L48" s="21">
        <f>F48*K48</f>
        <v>0.242</v>
      </c>
      <c r="M48" s="35" t="s">
        <v>205</v>
      </c>
      <c r="N48" s="37"/>
      <c r="Z48" s="39">
        <f>IF(AQ48="5",BJ48,0)</f>
        <v>0</v>
      </c>
      <c r="AB48" s="39">
        <f>IF(AQ48="1",BH48,0)</f>
        <v>0</v>
      </c>
      <c r="AC48" s="39">
        <f>IF(AQ48="1",BI48,0)</f>
        <v>0</v>
      </c>
      <c r="AD48" s="39">
        <f>IF(AQ48="7",BH48,0)</f>
        <v>0</v>
      </c>
      <c r="AE48" s="39">
        <f>IF(AQ48="7",BI48,0)</f>
        <v>0</v>
      </c>
      <c r="AF48" s="39">
        <f>IF(AQ48="2",BH48,0)</f>
        <v>0</v>
      </c>
      <c r="AG48" s="39">
        <f>IF(AQ48="2",BI48,0)</f>
        <v>0</v>
      </c>
      <c r="AH48" s="39">
        <f>IF(AQ48="0",BJ48,0)</f>
        <v>0</v>
      </c>
      <c r="AI48" s="29"/>
      <c r="AJ48" s="21">
        <f>IF(AN48=0,J48,0)</f>
        <v>0</v>
      </c>
      <c r="AK48" s="21">
        <f>IF(AN48=15,J48,0)</f>
        <v>0</v>
      </c>
      <c r="AL48" s="21">
        <f>IF(AN48=21,J48,0)</f>
        <v>0</v>
      </c>
      <c r="AN48" s="39">
        <v>15</v>
      </c>
      <c r="AO48" s="39">
        <f>G48*1</f>
        <v>0</v>
      </c>
      <c r="AP48" s="39">
        <f>G48*(1-1)</f>
        <v>0</v>
      </c>
      <c r="AQ48" s="41" t="s">
        <v>7</v>
      </c>
      <c r="AV48" s="39">
        <f>AW48+AX48</f>
        <v>0</v>
      </c>
      <c r="AW48" s="39">
        <f>F48*AO48</f>
        <v>0</v>
      </c>
      <c r="AX48" s="39">
        <f>F48*AP48</f>
        <v>0</v>
      </c>
      <c r="AY48" s="42" t="s">
        <v>224</v>
      </c>
      <c r="AZ48" s="42" t="s">
        <v>231</v>
      </c>
      <c r="BA48" s="29" t="s">
        <v>233</v>
      </c>
      <c r="BC48" s="39">
        <f>AW48+AX48</f>
        <v>0</v>
      </c>
      <c r="BD48" s="39">
        <f>G48/(100-BE48)*100</f>
        <v>0</v>
      </c>
      <c r="BE48" s="39">
        <v>0</v>
      </c>
      <c r="BF48" s="39">
        <f>L48</f>
        <v>0.242</v>
      </c>
      <c r="BH48" s="21">
        <f>F48*AO48</f>
        <v>0</v>
      </c>
      <c r="BI48" s="21">
        <f>F48*AP48</f>
        <v>0</v>
      </c>
      <c r="BJ48" s="21">
        <f>F48*G48</f>
        <v>0</v>
      </c>
      <c r="BK48" s="21" t="s">
        <v>239</v>
      </c>
      <c r="BL48" s="39">
        <v>89</v>
      </c>
    </row>
    <row r="49" spans="1:47" ht="12.75">
      <c r="A49" s="5"/>
      <c r="B49" s="13"/>
      <c r="C49" s="13" t="s">
        <v>89</v>
      </c>
      <c r="D49" s="13" t="s">
        <v>150</v>
      </c>
      <c r="E49" s="18" t="s">
        <v>6</v>
      </c>
      <c r="F49" s="18" t="s">
        <v>6</v>
      </c>
      <c r="G49" s="18"/>
      <c r="H49" s="45"/>
      <c r="I49" s="45"/>
      <c r="J49" s="45"/>
      <c r="K49" s="29"/>
      <c r="L49" s="45">
        <f>SUM(L50:L68)</f>
        <v>247.99805</v>
      </c>
      <c r="M49" s="34"/>
      <c r="N49" s="37"/>
      <c r="AI49" s="29"/>
      <c r="AS49" s="45">
        <f>SUM(AJ50:AJ68)</f>
        <v>0</v>
      </c>
      <c r="AT49" s="45">
        <f>SUM(AK50:AK68)</f>
        <v>0</v>
      </c>
      <c r="AU49" s="45">
        <f>SUM(AL50:AL68)</f>
        <v>0</v>
      </c>
    </row>
    <row r="50" spans="1:64" ht="12.75">
      <c r="A50" s="89" t="s">
        <v>35</v>
      </c>
      <c r="B50" s="12"/>
      <c r="C50" s="12" t="s">
        <v>90</v>
      </c>
      <c r="D50" s="12" t="s">
        <v>151</v>
      </c>
      <c r="E50" s="12" t="s">
        <v>184</v>
      </c>
      <c r="F50" s="20">
        <v>623</v>
      </c>
      <c r="G50" s="20"/>
      <c r="H50" s="20"/>
      <c r="I50" s="20"/>
      <c r="J50" s="20"/>
      <c r="K50" s="20">
        <v>0</v>
      </c>
      <c r="L50" s="20">
        <f aca="true" t="shared" si="21" ref="L50:L68">F50*K50</f>
        <v>0</v>
      </c>
      <c r="M50" s="33" t="s">
        <v>205</v>
      </c>
      <c r="N50" s="37"/>
      <c r="Z50" s="39">
        <f aca="true" t="shared" si="22" ref="Z50:Z68">IF(AQ50="5",BJ50,0)</f>
        <v>0</v>
      </c>
      <c r="AB50" s="39">
        <f aca="true" t="shared" si="23" ref="AB50:AB68">IF(AQ50="1",BH50,0)</f>
        <v>0</v>
      </c>
      <c r="AC50" s="39">
        <f aca="true" t="shared" si="24" ref="AC50:AC68">IF(AQ50="1",BI50,0)</f>
        <v>0</v>
      </c>
      <c r="AD50" s="39">
        <f aca="true" t="shared" si="25" ref="AD50:AD68">IF(AQ50="7",BH50,0)</f>
        <v>0</v>
      </c>
      <c r="AE50" s="39">
        <f aca="true" t="shared" si="26" ref="AE50:AE68">IF(AQ50="7",BI50,0)</f>
        <v>0</v>
      </c>
      <c r="AF50" s="39">
        <f aca="true" t="shared" si="27" ref="AF50:AF68">IF(AQ50="2",BH50,0)</f>
        <v>0</v>
      </c>
      <c r="AG50" s="39">
        <f aca="true" t="shared" si="28" ref="AG50:AG68">IF(AQ50="2",BI50,0)</f>
        <v>0</v>
      </c>
      <c r="AH50" s="39">
        <f aca="true" t="shared" si="29" ref="AH50:AH68">IF(AQ50="0",BJ50,0)</f>
        <v>0</v>
      </c>
      <c r="AI50" s="29"/>
      <c r="AJ50" s="20">
        <f aca="true" t="shared" si="30" ref="AJ50:AJ68">IF(AN50=0,J50,0)</f>
        <v>0</v>
      </c>
      <c r="AK50" s="20">
        <f aca="true" t="shared" si="31" ref="AK50:AK68">IF(AN50=15,J50,0)</f>
        <v>0</v>
      </c>
      <c r="AL50" s="20">
        <f aca="true" t="shared" si="32" ref="AL50:AL68">IF(AN50=21,J50,0)</f>
        <v>0</v>
      </c>
      <c r="AN50" s="39">
        <v>15</v>
      </c>
      <c r="AO50" s="39">
        <f>G50*0.586079295154185</f>
        <v>0</v>
      </c>
      <c r="AP50" s="39">
        <f>G50*(1-0.586079295154185)</f>
        <v>0</v>
      </c>
      <c r="AQ50" s="40" t="s">
        <v>7</v>
      </c>
      <c r="AV50" s="39">
        <f aca="true" t="shared" si="33" ref="AV50:AV68">AW50+AX50</f>
        <v>0</v>
      </c>
      <c r="AW50" s="39">
        <f aca="true" t="shared" si="34" ref="AW50:AW68">F50*AO50</f>
        <v>0</v>
      </c>
      <c r="AX50" s="39">
        <f aca="true" t="shared" si="35" ref="AX50:AX68">F50*AP50</f>
        <v>0</v>
      </c>
      <c r="AY50" s="42" t="s">
        <v>225</v>
      </c>
      <c r="AZ50" s="42" t="s">
        <v>232</v>
      </c>
      <c r="BA50" s="29" t="s">
        <v>233</v>
      </c>
      <c r="BC50" s="39">
        <f aca="true" t="shared" si="36" ref="BC50:BC68">AW50+AX50</f>
        <v>0</v>
      </c>
      <c r="BD50" s="39">
        <f aca="true" t="shared" si="37" ref="BD50:BD68">G50/(100-BE50)*100</f>
        <v>0</v>
      </c>
      <c r="BE50" s="39">
        <v>0</v>
      </c>
      <c r="BF50" s="39">
        <f aca="true" t="shared" si="38" ref="BF50:BF68">L50</f>
        <v>0</v>
      </c>
      <c r="BH50" s="20">
        <f aca="true" t="shared" si="39" ref="BH50:BH68">F50*AO50</f>
        <v>0</v>
      </c>
      <c r="BI50" s="20">
        <f aca="true" t="shared" si="40" ref="BI50:BI68">F50*AP50</f>
        <v>0</v>
      </c>
      <c r="BJ50" s="20">
        <f aca="true" t="shared" si="41" ref="BJ50:BJ68">F50*G50</f>
        <v>0</v>
      </c>
      <c r="BK50" s="20" t="s">
        <v>238</v>
      </c>
      <c r="BL50" s="39">
        <v>91</v>
      </c>
    </row>
    <row r="51" spans="1:64" ht="12.75">
      <c r="A51" s="89" t="s">
        <v>36</v>
      </c>
      <c r="B51" s="12"/>
      <c r="C51" s="12" t="s">
        <v>91</v>
      </c>
      <c r="D51" s="12" t="s">
        <v>152</v>
      </c>
      <c r="E51" s="12" t="s">
        <v>183</v>
      </c>
      <c r="F51" s="20">
        <v>3</v>
      </c>
      <c r="G51" s="20"/>
      <c r="H51" s="20"/>
      <c r="I51" s="20"/>
      <c r="J51" s="20"/>
      <c r="K51" s="20">
        <v>7.0275</v>
      </c>
      <c r="L51" s="20">
        <f t="shared" si="21"/>
        <v>21.0825</v>
      </c>
      <c r="M51" s="33" t="s">
        <v>205</v>
      </c>
      <c r="N51" s="37"/>
      <c r="Z51" s="39">
        <f t="shared" si="22"/>
        <v>0</v>
      </c>
      <c r="AB51" s="39">
        <f t="shared" si="23"/>
        <v>0</v>
      </c>
      <c r="AC51" s="39">
        <f t="shared" si="24"/>
        <v>0</v>
      </c>
      <c r="AD51" s="39">
        <f t="shared" si="25"/>
        <v>0</v>
      </c>
      <c r="AE51" s="39">
        <f t="shared" si="26"/>
        <v>0</v>
      </c>
      <c r="AF51" s="39">
        <f t="shared" si="27"/>
        <v>0</v>
      </c>
      <c r="AG51" s="39">
        <f t="shared" si="28"/>
        <v>0</v>
      </c>
      <c r="AH51" s="39">
        <f t="shared" si="29"/>
        <v>0</v>
      </c>
      <c r="AI51" s="29"/>
      <c r="AJ51" s="20">
        <f t="shared" si="30"/>
        <v>0</v>
      </c>
      <c r="AK51" s="20">
        <f t="shared" si="31"/>
        <v>0</v>
      </c>
      <c r="AL51" s="20">
        <f t="shared" si="32"/>
        <v>0</v>
      </c>
      <c r="AN51" s="39">
        <v>15</v>
      </c>
      <c r="AO51" s="39">
        <f>G51*0.369587560386473</f>
        <v>0</v>
      </c>
      <c r="AP51" s="39">
        <f>G51*(1-0.369587560386473)</f>
        <v>0</v>
      </c>
      <c r="AQ51" s="40" t="s">
        <v>7</v>
      </c>
      <c r="AV51" s="39">
        <f t="shared" si="33"/>
        <v>0</v>
      </c>
      <c r="AW51" s="39">
        <f t="shared" si="34"/>
        <v>0</v>
      </c>
      <c r="AX51" s="39">
        <f t="shared" si="35"/>
        <v>0</v>
      </c>
      <c r="AY51" s="42" t="s">
        <v>225</v>
      </c>
      <c r="AZ51" s="42" t="s">
        <v>232</v>
      </c>
      <c r="BA51" s="29" t="s">
        <v>233</v>
      </c>
      <c r="BC51" s="39">
        <f t="shared" si="36"/>
        <v>0</v>
      </c>
      <c r="BD51" s="39">
        <f t="shared" si="37"/>
        <v>0</v>
      </c>
      <c r="BE51" s="39">
        <v>0</v>
      </c>
      <c r="BF51" s="39">
        <f t="shared" si="38"/>
        <v>21.0825</v>
      </c>
      <c r="BH51" s="20">
        <f t="shared" si="39"/>
        <v>0</v>
      </c>
      <c r="BI51" s="20">
        <f t="shared" si="40"/>
        <v>0</v>
      </c>
      <c r="BJ51" s="20">
        <f t="shared" si="41"/>
        <v>0</v>
      </c>
      <c r="BK51" s="20" t="s">
        <v>238</v>
      </c>
      <c r="BL51" s="39">
        <v>91</v>
      </c>
    </row>
    <row r="52" spans="1:64" ht="12.75">
      <c r="A52" s="89" t="s">
        <v>37</v>
      </c>
      <c r="B52" s="12"/>
      <c r="C52" s="12" t="s">
        <v>92</v>
      </c>
      <c r="D52" s="12" t="s">
        <v>153</v>
      </c>
      <c r="E52" s="12" t="s">
        <v>184</v>
      </c>
      <c r="F52" s="20">
        <v>623</v>
      </c>
      <c r="G52" s="20"/>
      <c r="H52" s="20"/>
      <c r="I52" s="20"/>
      <c r="J52" s="20"/>
      <c r="K52" s="20">
        <v>0.188</v>
      </c>
      <c r="L52" s="20">
        <f t="shared" si="21"/>
        <v>117.124</v>
      </c>
      <c r="M52" s="33" t="s">
        <v>205</v>
      </c>
      <c r="N52" s="37"/>
      <c r="Z52" s="39">
        <f t="shared" si="22"/>
        <v>0</v>
      </c>
      <c r="AB52" s="39">
        <f t="shared" si="23"/>
        <v>0</v>
      </c>
      <c r="AC52" s="39">
        <f t="shared" si="24"/>
        <v>0</v>
      </c>
      <c r="AD52" s="39">
        <f t="shared" si="25"/>
        <v>0</v>
      </c>
      <c r="AE52" s="39">
        <f t="shared" si="26"/>
        <v>0</v>
      </c>
      <c r="AF52" s="39">
        <f t="shared" si="27"/>
        <v>0</v>
      </c>
      <c r="AG52" s="39">
        <f t="shared" si="28"/>
        <v>0</v>
      </c>
      <c r="AH52" s="39">
        <f t="shared" si="29"/>
        <v>0</v>
      </c>
      <c r="AI52" s="29"/>
      <c r="AJ52" s="20">
        <f t="shared" si="30"/>
        <v>0</v>
      </c>
      <c r="AK52" s="20">
        <f t="shared" si="31"/>
        <v>0</v>
      </c>
      <c r="AL52" s="20">
        <f t="shared" si="32"/>
        <v>0</v>
      </c>
      <c r="AN52" s="39">
        <v>15</v>
      </c>
      <c r="AO52" s="39">
        <f>G52*0.561811965811966</f>
        <v>0</v>
      </c>
      <c r="AP52" s="39">
        <f>G52*(1-0.561811965811966)</f>
        <v>0</v>
      </c>
      <c r="AQ52" s="40" t="s">
        <v>7</v>
      </c>
      <c r="AV52" s="39">
        <f t="shared" si="33"/>
        <v>0</v>
      </c>
      <c r="AW52" s="39">
        <f t="shared" si="34"/>
        <v>0</v>
      </c>
      <c r="AX52" s="39">
        <f t="shared" si="35"/>
        <v>0</v>
      </c>
      <c r="AY52" s="42" t="s">
        <v>225</v>
      </c>
      <c r="AZ52" s="42" t="s">
        <v>232</v>
      </c>
      <c r="BA52" s="29" t="s">
        <v>233</v>
      </c>
      <c r="BC52" s="39">
        <f t="shared" si="36"/>
        <v>0</v>
      </c>
      <c r="BD52" s="39">
        <f t="shared" si="37"/>
        <v>0</v>
      </c>
      <c r="BE52" s="39">
        <v>0</v>
      </c>
      <c r="BF52" s="39">
        <f t="shared" si="38"/>
        <v>117.124</v>
      </c>
      <c r="BH52" s="20">
        <f t="shared" si="39"/>
        <v>0</v>
      </c>
      <c r="BI52" s="20">
        <f t="shared" si="40"/>
        <v>0</v>
      </c>
      <c r="BJ52" s="20">
        <f t="shared" si="41"/>
        <v>0</v>
      </c>
      <c r="BK52" s="20" t="s">
        <v>238</v>
      </c>
      <c r="BL52" s="39">
        <v>91</v>
      </c>
    </row>
    <row r="53" spans="1:64" ht="12.75">
      <c r="A53" s="90" t="s">
        <v>38</v>
      </c>
      <c r="B53" s="14"/>
      <c r="C53" s="14" t="s">
        <v>93</v>
      </c>
      <c r="D53" s="14" t="s">
        <v>154</v>
      </c>
      <c r="E53" s="14" t="s">
        <v>183</v>
      </c>
      <c r="F53" s="21">
        <v>24</v>
      </c>
      <c r="G53" s="21"/>
      <c r="H53" s="21"/>
      <c r="I53" s="21"/>
      <c r="J53" s="21"/>
      <c r="K53" s="21">
        <v>0.096</v>
      </c>
      <c r="L53" s="21">
        <f t="shared" si="21"/>
        <v>2.3040000000000003</v>
      </c>
      <c r="M53" s="35" t="s">
        <v>205</v>
      </c>
      <c r="N53" s="37"/>
      <c r="Z53" s="39">
        <f t="shared" si="22"/>
        <v>0</v>
      </c>
      <c r="AB53" s="39">
        <f t="shared" si="23"/>
        <v>0</v>
      </c>
      <c r="AC53" s="39">
        <f t="shared" si="24"/>
        <v>0</v>
      </c>
      <c r="AD53" s="39">
        <f t="shared" si="25"/>
        <v>0</v>
      </c>
      <c r="AE53" s="39">
        <f t="shared" si="26"/>
        <v>0</v>
      </c>
      <c r="AF53" s="39">
        <f t="shared" si="27"/>
        <v>0</v>
      </c>
      <c r="AG53" s="39">
        <f t="shared" si="28"/>
        <v>0</v>
      </c>
      <c r="AH53" s="39">
        <f t="shared" si="29"/>
        <v>0</v>
      </c>
      <c r="AI53" s="29"/>
      <c r="AJ53" s="21">
        <f t="shared" si="30"/>
        <v>0</v>
      </c>
      <c r="AK53" s="21">
        <f t="shared" si="31"/>
        <v>0</v>
      </c>
      <c r="AL53" s="21">
        <f t="shared" si="32"/>
        <v>0</v>
      </c>
      <c r="AN53" s="39">
        <v>15</v>
      </c>
      <c r="AO53" s="39">
        <f>G53*1</f>
        <v>0</v>
      </c>
      <c r="AP53" s="39">
        <f>G53*(1-1)</f>
        <v>0</v>
      </c>
      <c r="AQ53" s="41" t="s">
        <v>7</v>
      </c>
      <c r="AV53" s="39">
        <f t="shared" si="33"/>
        <v>0</v>
      </c>
      <c r="AW53" s="39">
        <f t="shared" si="34"/>
        <v>0</v>
      </c>
      <c r="AX53" s="39">
        <f t="shared" si="35"/>
        <v>0</v>
      </c>
      <c r="AY53" s="42" t="s">
        <v>225</v>
      </c>
      <c r="AZ53" s="42" t="s">
        <v>232</v>
      </c>
      <c r="BA53" s="29" t="s">
        <v>233</v>
      </c>
      <c r="BC53" s="39">
        <f t="shared" si="36"/>
        <v>0</v>
      </c>
      <c r="BD53" s="39">
        <f t="shared" si="37"/>
        <v>0</v>
      </c>
      <c r="BE53" s="39">
        <v>0</v>
      </c>
      <c r="BF53" s="39">
        <f t="shared" si="38"/>
        <v>2.3040000000000003</v>
      </c>
      <c r="BH53" s="21">
        <f t="shared" si="39"/>
        <v>0</v>
      </c>
      <c r="BI53" s="21">
        <f t="shared" si="40"/>
        <v>0</v>
      </c>
      <c r="BJ53" s="21">
        <f t="shared" si="41"/>
        <v>0</v>
      </c>
      <c r="BK53" s="21" t="s">
        <v>239</v>
      </c>
      <c r="BL53" s="39">
        <v>91</v>
      </c>
    </row>
    <row r="54" spans="1:64" ht="12.75">
      <c r="A54" s="90" t="s">
        <v>39</v>
      </c>
      <c r="B54" s="14"/>
      <c r="C54" s="14" t="s">
        <v>94</v>
      </c>
      <c r="D54" s="14" t="s">
        <v>155</v>
      </c>
      <c r="E54" s="14" t="s">
        <v>183</v>
      </c>
      <c r="F54" s="21">
        <v>510</v>
      </c>
      <c r="G54" s="21"/>
      <c r="H54" s="21"/>
      <c r="I54" s="21"/>
      <c r="J54" s="21"/>
      <c r="K54" s="21">
        <v>0.08</v>
      </c>
      <c r="L54" s="21">
        <f t="shared" si="21"/>
        <v>40.800000000000004</v>
      </c>
      <c r="M54" s="35" t="s">
        <v>205</v>
      </c>
      <c r="N54" s="37"/>
      <c r="Z54" s="39">
        <f t="shared" si="22"/>
        <v>0</v>
      </c>
      <c r="AB54" s="39">
        <f t="shared" si="23"/>
        <v>0</v>
      </c>
      <c r="AC54" s="39">
        <f t="shared" si="24"/>
        <v>0</v>
      </c>
      <c r="AD54" s="39">
        <f t="shared" si="25"/>
        <v>0</v>
      </c>
      <c r="AE54" s="39">
        <f t="shared" si="26"/>
        <v>0</v>
      </c>
      <c r="AF54" s="39">
        <f t="shared" si="27"/>
        <v>0</v>
      </c>
      <c r="AG54" s="39">
        <f t="shared" si="28"/>
        <v>0</v>
      </c>
      <c r="AH54" s="39">
        <f t="shared" si="29"/>
        <v>0</v>
      </c>
      <c r="AI54" s="29"/>
      <c r="AJ54" s="21">
        <f t="shared" si="30"/>
        <v>0</v>
      </c>
      <c r="AK54" s="21">
        <f t="shared" si="31"/>
        <v>0</v>
      </c>
      <c r="AL54" s="21">
        <f t="shared" si="32"/>
        <v>0</v>
      </c>
      <c r="AN54" s="39">
        <v>15</v>
      </c>
      <c r="AO54" s="39">
        <f>G54*1</f>
        <v>0</v>
      </c>
      <c r="AP54" s="39">
        <f>G54*(1-1)</f>
        <v>0</v>
      </c>
      <c r="AQ54" s="41" t="s">
        <v>7</v>
      </c>
      <c r="AV54" s="39">
        <f t="shared" si="33"/>
        <v>0</v>
      </c>
      <c r="AW54" s="39">
        <f t="shared" si="34"/>
        <v>0</v>
      </c>
      <c r="AX54" s="39">
        <f t="shared" si="35"/>
        <v>0</v>
      </c>
      <c r="AY54" s="42" t="s">
        <v>225</v>
      </c>
      <c r="AZ54" s="42" t="s">
        <v>232</v>
      </c>
      <c r="BA54" s="29" t="s">
        <v>233</v>
      </c>
      <c r="BC54" s="39">
        <f t="shared" si="36"/>
        <v>0</v>
      </c>
      <c r="BD54" s="39">
        <f t="shared" si="37"/>
        <v>0</v>
      </c>
      <c r="BE54" s="39">
        <v>0</v>
      </c>
      <c r="BF54" s="39">
        <f t="shared" si="38"/>
        <v>40.800000000000004</v>
      </c>
      <c r="BH54" s="21">
        <f t="shared" si="39"/>
        <v>0</v>
      </c>
      <c r="BI54" s="21">
        <f t="shared" si="40"/>
        <v>0</v>
      </c>
      <c r="BJ54" s="21">
        <f t="shared" si="41"/>
        <v>0</v>
      </c>
      <c r="BK54" s="21" t="s">
        <v>239</v>
      </c>
      <c r="BL54" s="39">
        <v>91</v>
      </c>
    </row>
    <row r="55" spans="1:64" ht="12.75">
      <c r="A55" s="90" t="s">
        <v>40</v>
      </c>
      <c r="B55" s="14"/>
      <c r="C55" s="14" t="s">
        <v>95</v>
      </c>
      <c r="D55" s="14" t="s">
        <v>156</v>
      </c>
      <c r="E55" s="14" t="s">
        <v>183</v>
      </c>
      <c r="F55" s="21">
        <v>26</v>
      </c>
      <c r="G55" s="21"/>
      <c r="H55" s="21"/>
      <c r="I55" s="21"/>
      <c r="J55" s="21"/>
      <c r="K55" s="21">
        <v>0.069</v>
      </c>
      <c r="L55" s="21">
        <f t="shared" si="21"/>
        <v>1.794</v>
      </c>
      <c r="M55" s="35" t="s">
        <v>205</v>
      </c>
      <c r="N55" s="37"/>
      <c r="Z55" s="39">
        <f t="shared" si="22"/>
        <v>0</v>
      </c>
      <c r="AB55" s="39">
        <f t="shared" si="23"/>
        <v>0</v>
      </c>
      <c r="AC55" s="39">
        <f t="shared" si="24"/>
        <v>0</v>
      </c>
      <c r="AD55" s="39">
        <f t="shared" si="25"/>
        <v>0</v>
      </c>
      <c r="AE55" s="39">
        <f t="shared" si="26"/>
        <v>0</v>
      </c>
      <c r="AF55" s="39">
        <f t="shared" si="27"/>
        <v>0</v>
      </c>
      <c r="AG55" s="39">
        <f t="shared" si="28"/>
        <v>0</v>
      </c>
      <c r="AH55" s="39">
        <f t="shared" si="29"/>
        <v>0</v>
      </c>
      <c r="AI55" s="29"/>
      <c r="AJ55" s="21">
        <f t="shared" si="30"/>
        <v>0</v>
      </c>
      <c r="AK55" s="21">
        <f t="shared" si="31"/>
        <v>0</v>
      </c>
      <c r="AL55" s="21">
        <f t="shared" si="32"/>
        <v>0</v>
      </c>
      <c r="AN55" s="39">
        <v>15</v>
      </c>
      <c r="AO55" s="39">
        <f>G55*1</f>
        <v>0</v>
      </c>
      <c r="AP55" s="39">
        <f>G55*(1-1)</f>
        <v>0</v>
      </c>
      <c r="AQ55" s="41" t="s">
        <v>7</v>
      </c>
      <c r="AV55" s="39">
        <f t="shared" si="33"/>
        <v>0</v>
      </c>
      <c r="AW55" s="39">
        <f t="shared" si="34"/>
        <v>0</v>
      </c>
      <c r="AX55" s="39">
        <f t="shared" si="35"/>
        <v>0</v>
      </c>
      <c r="AY55" s="42" t="s">
        <v>225</v>
      </c>
      <c r="AZ55" s="42" t="s">
        <v>232</v>
      </c>
      <c r="BA55" s="29" t="s">
        <v>233</v>
      </c>
      <c r="BC55" s="39">
        <f t="shared" si="36"/>
        <v>0</v>
      </c>
      <c r="BD55" s="39">
        <f t="shared" si="37"/>
        <v>0</v>
      </c>
      <c r="BE55" s="39">
        <v>0</v>
      </c>
      <c r="BF55" s="39">
        <f t="shared" si="38"/>
        <v>1.794</v>
      </c>
      <c r="BH55" s="21">
        <f t="shared" si="39"/>
        <v>0</v>
      </c>
      <c r="BI55" s="21">
        <f t="shared" si="40"/>
        <v>0</v>
      </c>
      <c r="BJ55" s="21">
        <f t="shared" si="41"/>
        <v>0</v>
      </c>
      <c r="BK55" s="21" t="s">
        <v>239</v>
      </c>
      <c r="BL55" s="39">
        <v>91</v>
      </c>
    </row>
    <row r="56" spans="1:64" ht="12.75">
      <c r="A56" s="90" t="s">
        <v>41</v>
      </c>
      <c r="B56" s="14"/>
      <c r="C56" s="14" t="s">
        <v>96</v>
      </c>
      <c r="D56" s="14" t="s">
        <v>157</v>
      </c>
      <c r="E56" s="14" t="s">
        <v>183</v>
      </c>
      <c r="F56" s="21">
        <v>51</v>
      </c>
      <c r="G56" s="21"/>
      <c r="H56" s="21"/>
      <c r="I56" s="21"/>
      <c r="J56" s="21"/>
      <c r="K56" s="21">
        <v>0.052</v>
      </c>
      <c r="L56" s="21">
        <f t="shared" si="21"/>
        <v>2.6519999999999997</v>
      </c>
      <c r="M56" s="35" t="s">
        <v>205</v>
      </c>
      <c r="N56" s="37"/>
      <c r="Z56" s="39">
        <f t="shared" si="22"/>
        <v>0</v>
      </c>
      <c r="AB56" s="39">
        <f t="shared" si="23"/>
        <v>0</v>
      </c>
      <c r="AC56" s="39">
        <f t="shared" si="24"/>
        <v>0</v>
      </c>
      <c r="AD56" s="39">
        <f t="shared" si="25"/>
        <v>0</v>
      </c>
      <c r="AE56" s="39">
        <f t="shared" si="26"/>
        <v>0</v>
      </c>
      <c r="AF56" s="39">
        <f t="shared" si="27"/>
        <v>0</v>
      </c>
      <c r="AG56" s="39">
        <f t="shared" si="28"/>
        <v>0</v>
      </c>
      <c r="AH56" s="39">
        <f t="shared" si="29"/>
        <v>0</v>
      </c>
      <c r="AI56" s="29"/>
      <c r="AJ56" s="21">
        <f t="shared" si="30"/>
        <v>0</v>
      </c>
      <c r="AK56" s="21">
        <f t="shared" si="31"/>
        <v>0</v>
      </c>
      <c r="AL56" s="21">
        <f t="shared" si="32"/>
        <v>0</v>
      </c>
      <c r="AN56" s="39">
        <v>15</v>
      </c>
      <c r="AO56" s="39">
        <f>G56*1</f>
        <v>0</v>
      </c>
      <c r="AP56" s="39">
        <f>G56*(1-1)</f>
        <v>0</v>
      </c>
      <c r="AQ56" s="41" t="s">
        <v>7</v>
      </c>
      <c r="AV56" s="39">
        <f t="shared" si="33"/>
        <v>0</v>
      </c>
      <c r="AW56" s="39">
        <f t="shared" si="34"/>
        <v>0</v>
      </c>
      <c r="AX56" s="39">
        <f t="shared" si="35"/>
        <v>0</v>
      </c>
      <c r="AY56" s="42" t="s">
        <v>225</v>
      </c>
      <c r="AZ56" s="42" t="s">
        <v>232</v>
      </c>
      <c r="BA56" s="29" t="s">
        <v>233</v>
      </c>
      <c r="BC56" s="39">
        <f t="shared" si="36"/>
        <v>0</v>
      </c>
      <c r="BD56" s="39">
        <f t="shared" si="37"/>
        <v>0</v>
      </c>
      <c r="BE56" s="39">
        <v>0</v>
      </c>
      <c r="BF56" s="39">
        <f t="shared" si="38"/>
        <v>2.6519999999999997</v>
      </c>
      <c r="BH56" s="21">
        <f t="shared" si="39"/>
        <v>0</v>
      </c>
      <c r="BI56" s="21">
        <f t="shared" si="40"/>
        <v>0</v>
      </c>
      <c r="BJ56" s="21">
        <f t="shared" si="41"/>
        <v>0</v>
      </c>
      <c r="BK56" s="21" t="s">
        <v>239</v>
      </c>
      <c r="BL56" s="39">
        <v>91</v>
      </c>
    </row>
    <row r="57" spans="1:64" ht="12.75">
      <c r="A57" s="89" t="s">
        <v>42</v>
      </c>
      <c r="B57" s="12"/>
      <c r="C57" s="12" t="s">
        <v>97</v>
      </c>
      <c r="D57" s="12" t="s">
        <v>158</v>
      </c>
      <c r="E57" s="12" t="s">
        <v>184</v>
      </c>
      <c r="F57" s="20">
        <v>419.5</v>
      </c>
      <c r="G57" s="20"/>
      <c r="H57" s="20"/>
      <c r="I57" s="20"/>
      <c r="J57" s="20"/>
      <c r="K57" s="20">
        <v>0.1025</v>
      </c>
      <c r="L57" s="20">
        <f t="shared" si="21"/>
        <v>42.998749999999994</v>
      </c>
      <c r="M57" s="33" t="s">
        <v>205</v>
      </c>
      <c r="N57" s="37"/>
      <c r="Z57" s="39">
        <f t="shared" si="22"/>
        <v>0</v>
      </c>
      <c r="AB57" s="39">
        <f t="shared" si="23"/>
        <v>0</v>
      </c>
      <c r="AC57" s="39">
        <f t="shared" si="24"/>
        <v>0</v>
      </c>
      <c r="AD57" s="39">
        <f t="shared" si="25"/>
        <v>0</v>
      </c>
      <c r="AE57" s="39">
        <f t="shared" si="26"/>
        <v>0</v>
      </c>
      <c r="AF57" s="39">
        <f t="shared" si="27"/>
        <v>0</v>
      </c>
      <c r="AG57" s="39">
        <f t="shared" si="28"/>
        <v>0</v>
      </c>
      <c r="AH57" s="39">
        <f t="shared" si="29"/>
        <v>0</v>
      </c>
      <c r="AI57" s="29"/>
      <c r="AJ57" s="20">
        <f t="shared" si="30"/>
        <v>0</v>
      </c>
      <c r="AK57" s="20">
        <f t="shared" si="31"/>
        <v>0</v>
      </c>
      <c r="AL57" s="20">
        <f t="shared" si="32"/>
        <v>0</v>
      </c>
      <c r="AN57" s="39">
        <v>15</v>
      </c>
      <c r="AO57" s="39">
        <f>G57*0.575948553054662</f>
        <v>0</v>
      </c>
      <c r="AP57" s="39">
        <f>G57*(1-0.575948553054662)</f>
        <v>0</v>
      </c>
      <c r="AQ57" s="40" t="s">
        <v>7</v>
      </c>
      <c r="AV57" s="39">
        <f t="shared" si="33"/>
        <v>0</v>
      </c>
      <c r="AW57" s="39">
        <f t="shared" si="34"/>
        <v>0</v>
      </c>
      <c r="AX57" s="39">
        <f t="shared" si="35"/>
        <v>0</v>
      </c>
      <c r="AY57" s="42" t="s">
        <v>225</v>
      </c>
      <c r="AZ57" s="42" t="s">
        <v>232</v>
      </c>
      <c r="BA57" s="29" t="s">
        <v>233</v>
      </c>
      <c r="BC57" s="39">
        <f t="shared" si="36"/>
        <v>0</v>
      </c>
      <c r="BD57" s="39">
        <f t="shared" si="37"/>
        <v>0</v>
      </c>
      <c r="BE57" s="39">
        <v>0</v>
      </c>
      <c r="BF57" s="39">
        <f t="shared" si="38"/>
        <v>42.998749999999994</v>
      </c>
      <c r="BH57" s="20">
        <f t="shared" si="39"/>
        <v>0</v>
      </c>
      <c r="BI57" s="20">
        <f t="shared" si="40"/>
        <v>0</v>
      </c>
      <c r="BJ57" s="20">
        <f t="shared" si="41"/>
        <v>0</v>
      </c>
      <c r="BK57" s="20" t="s">
        <v>238</v>
      </c>
      <c r="BL57" s="39">
        <v>91</v>
      </c>
    </row>
    <row r="58" spans="1:64" ht="12.75">
      <c r="A58" s="90" t="s">
        <v>43</v>
      </c>
      <c r="B58" s="14"/>
      <c r="C58" s="14" t="s">
        <v>98</v>
      </c>
      <c r="D58" s="14" t="s">
        <v>159</v>
      </c>
      <c r="E58" s="14" t="s">
        <v>183</v>
      </c>
      <c r="F58" s="21">
        <v>839</v>
      </c>
      <c r="G58" s="21"/>
      <c r="H58" s="21"/>
      <c r="I58" s="21"/>
      <c r="J58" s="21"/>
      <c r="K58" s="21">
        <v>0.0225</v>
      </c>
      <c r="L58" s="21">
        <f t="shared" si="21"/>
        <v>18.877499999999998</v>
      </c>
      <c r="M58" s="35" t="s">
        <v>205</v>
      </c>
      <c r="N58" s="37"/>
      <c r="Z58" s="39">
        <f t="shared" si="22"/>
        <v>0</v>
      </c>
      <c r="AB58" s="39">
        <f t="shared" si="23"/>
        <v>0</v>
      </c>
      <c r="AC58" s="39">
        <f t="shared" si="24"/>
        <v>0</v>
      </c>
      <c r="AD58" s="39">
        <f t="shared" si="25"/>
        <v>0</v>
      </c>
      <c r="AE58" s="39">
        <f t="shared" si="26"/>
        <v>0</v>
      </c>
      <c r="AF58" s="39">
        <f t="shared" si="27"/>
        <v>0</v>
      </c>
      <c r="AG58" s="39">
        <f t="shared" si="28"/>
        <v>0</v>
      </c>
      <c r="AH58" s="39">
        <f t="shared" si="29"/>
        <v>0</v>
      </c>
      <c r="AI58" s="29"/>
      <c r="AJ58" s="21">
        <f t="shared" si="30"/>
        <v>0</v>
      </c>
      <c r="AK58" s="21">
        <f t="shared" si="31"/>
        <v>0</v>
      </c>
      <c r="AL58" s="21">
        <f t="shared" si="32"/>
        <v>0</v>
      </c>
      <c r="AN58" s="39">
        <v>15</v>
      </c>
      <c r="AO58" s="39">
        <f>G58*1</f>
        <v>0</v>
      </c>
      <c r="AP58" s="39">
        <f>G58*(1-1)</f>
        <v>0</v>
      </c>
      <c r="AQ58" s="41" t="s">
        <v>7</v>
      </c>
      <c r="AV58" s="39">
        <f t="shared" si="33"/>
        <v>0</v>
      </c>
      <c r="AW58" s="39">
        <f t="shared" si="34"/>
        <v>0</v>
      </c>
      <c r="AX58" s="39">
        <f t="shared" si="35"/>
        <v>0</v>
      </c>
      <c r="AY58" s="42" t="s">
        <v>225</v>
      </c>
      <c r="AZ58" s="42" t="s">
        <v>232</v>
      </c>
      <c r="BA58" s="29" t="s">
        <v>233</v>
      </c>
      <c r="BC58" s="39">
        <f t="shared" si="36"/>
        <v>0</v>
      </c>
      <c r="BD58" s="39">
        <f t="shared" si="37"/>
        <v>0</v>
      </c>
      <c r="BE58" s="39">
        <v>0</v>
      </c>
      <c r="BF58" s="39">
        <f t="shared" si="38"/>
        <v>18.877499999999998</v>
      </c>
      <c r="BH58" s="21">
        <f t="shared" si="39"/>
        <v>0</v>
      </c>
      <c r="BI58" s="21">
        <f t="shared" si="40"/>
        <v>0</v>
      </c>
      <c r="BJ58" s="21">
        <f t="shared" si="41"/>
        <v>0</v>
      </c>
      <c r="BK58" s="21" t="s">
        <v>239</v>
      </c>
      <c r="BL58" s="39">
        <v>91</v>
      </c>
    </row>
    <row r="59" spans="1:64" ht="12.75">
      <c r="A59" s="89" t="s">
        <v>44</v>
      </c>
      <c r="B59" s="12"/>
      <c r="C59" s="12" t="s">
        <v>99</v>
      </c>
      <c r="D59" s="12" t="s">
        <v>160</v>
      </c>
      <c r="E59" s="12" t="s">
        <v>183</v>
      </c>
      <c r="F59" s="20">
        <v>2</v>
      </c>
      <c r="G59" s="20"/>
      <c r="H59" s="20"/>
      <c r="I59" s="20"/>
      <c r="J59" s="20"/>
      <c r="K59" s="20">
        <v>0.1133</v>
      </c>
      <c r="L59" s="20">
        <f t="shared" si="21"/>
        <v>0.2266</v>
      </c>
      <c r="M59" s="33" t="s">
        <v>205</v>
      </c>
      <c r="N59" s="37"/>
      <c r="Z59" s="39">
        <f t="shared" si="22"/>
        <v>0</v>
      </c>
      <c r="AB59" s="39">
        <f t="shared" si="23"/>
        <v>0</v>
      </c>
      <c r="AC59" s="39">
        <f t="shared" si="24"/>
        <v>0</v>
      </c>
      <c r="AD59" s="39">
        <f t="shared" si="25"/>
        <v>0</v>
      </c>
      <c r="AE59" s="39">
        <f t="shared" si="26"/>
        <v>0</v>
      </c>
      <c r="AF59" s="39">
        <f t="shared" si="27"/>
        <v>0</v>
      </c>
      <c r="AG59" s="39">
        <f t="shared" si="28"/>
        <v>0</v>
      </c>
      <c r="AH59" s="39">
        <f t="shared" si="29"/>
        <v>0</v>
      </c>
      <c r="AI59" s="29"/>
      <c r="AJ59" s="20">
        <f t="shared" si="30"/>
        <v>0</v>
      </c>
      <c r="AK59" s="20">
        <f t="shared" si="31"/>
        <v>0</v>
      </c>
      <c r="AL59" s="20">
        <f t="shared" si="32"/>
        <v>0</v>
      </c>
      <c r="AN59" s="39">
        <v>15</v>
      </c>
      <c r="AO59" s="39">
        <f>G59*0.637245179063361</f>
        <v>0</v>
      </c>
      <c r="AP59" s="39">
        <f>G59*(1-0.637245179063361)</f>
        <v>0</v>
      </c>
      <c r="AQ59" s="40" t="s">
        <v>7</v>
      </c>
      <c r="AV59" s="39">
        <f t="shared" si="33"/>
        <v>0</v>
      </c>
      <c r="AW59" s="39">
        <f t="shared" si="34"/>
        <v>0</v>
      </c>
      <c r="AX59" s="39">
        <f t="shared" si="35"/>
        <v>0</v>
      </c>
      <c r="AY59" s="42" t="s">
        <v>225</v>
      </c>
      <c r="AZ59" s="42" t="s">
        <v>232</v>
      </c>
      <c r="BA59" s="29" t="s">
        <v>233</v>
      </c>
      <c r="BC59" s="39">
        <f t="shared" si="36"/>
        <v>0</v>
      </c>
      <c r="BD59" s="39">
        <f t="shared" si="37"/>
        <v>0</v>
      </c>
      <c r="BE59" s="39">
        <v>0</v>
      </c>
      <c r="BF59" s="39">
        <f t="shared" si="38"/>
        <v>0.2266</v>
      </c>
      <c r="BH59" s="20">
        <f t="shared" si="39"/>
        <v>0</v>
      </c>
      <c r="BI59" s="20">
        <f t="shared" si="40"/>
        <v>0</v>
      </c>
      <c r="BJ59" s="20">
        <f t="shared" si="41"/>
        <v>0</v>
      </c>
      <c r="BK59" s="20" t="s">
        <v>238</v>
      </c>
      <c r="BL59" s="39">
        <v>91</v>
      </c>
    </row>
    <row r="60" spans="1:64" ht="12.75">
      <c r="A60" s="90" t="s">
        <v>45</v>
      </c>
      <c r="B60" s="14"/>
      <c r="C60" s="14" t="s">
        <v>100</v>
      </c>
      <c r="D60" s="14" t="s">
        <v>161</v>
      </c>
      <c r="E60" s="14" t="s">
        <v>183</v>
      </c>
      <c r="F60" s="21">
        <v>2</v>
      </c>
      <c r="G60" s="21"/>
      <c r="H60" s="21"/>
      <c r="I60" s="21"/>
      <c r="J60" s="21"/>
      <c r="K60" s="21">
        <v>0.0051</v>
      </c>
      <c r="L60" s="21">
        <f t="shared" si="21"/>
        <v>0.0102</v>
      </c>
      <c r="M60" s="35" t="s">
        <v>205</v>
      </c>
      <c r="N60" s="37"/>
      <c r="Z60" s="39">
        <f t="shared" si="22"/>
        <v>0</v>
      </c>
      <c r="AB60" s="39">
        <f t="shared" si="23"/>
        <v>0</v>
      </c>
      <c r="AC60" s="39">
        <f t="shared" si="24"/>
        <v>0</v>
      </c>
      <c r="AD60" s="39">
        <f t="shared" si="25"/>
        <v>0</v>
      </c>
      <c r="AE60" s="39">
        <f t="shared" si="26"/>
        <v>0</v>
      </c>
      <c r="AF60" s="39">
        <f t="shared" si="27"/>
        <v>0</v>
      </c>
      <c r="AG60" s="39">
        <f t="shared" si="28"/>
        <v>0</v>
      </c>
      <c r="AH60" s="39">
        <f t="shared" si="29"/>
        <v>0</v>
      </c>
      <c r="AI60" s="29"/>
      <c r="AJ60" s="21">
        <f t="shared" si="30"/>
        <v>0</v>
      </c>
      <c r="AK60" s="21">
        <f t="shared" si="31"/>
        <v>0</v>
      </c>
      <c r="AL60" s="21">
        <f t="shared" si="32"/>
        <v>0</v>
      </c>
      <c r="AN60" s="39">
        <v>15</v>
      </c>
      <c r="AO60" s="39">
        <f>G60*1</f>
        <v>0</v>
      </c>
      <c r="AP60" s="39">
        <f>G60*(1-1)</f>
        <v>0</v>
      </c>
      <c r="AQ60" s="41" t="s">
        <v>7</v>
      </c>
      <c r="AV60" s="39">
        <f t="shared" si="33"/>
        <v>0</v>
      </c>
      <c r="AW60" s="39">
        <f t="shared" si="34"/>
        <v>0</v>
      </c>
      <c r="AX60" s="39">
        <f t="shared" si="35"/>
        <v>0</v>
      </c>
      <c r="AY60" s="42" t="s">
        <v>225</v>
      </c>
      <c r="AZ60" s="42" t="s">
        <v>232</v>
      </c>
      <c r="BA60" s="29" t="s">
        <v>233</v>
      </c>
      <c r="BC60" s="39">
        <f t="shared" si="36"/>
        <v>0</v>
      </c>
      <c r="BD60" s="39">
        <f t="shared" si="37"/>
        <v>0</v>
      </c>
      <c r="BE60" s="39">
        <v>0</v>
      </c>
      <c r="BF60" s="39">
        <f t="shared" si="38"/>
        <v>0.0102</v>
      </c>
      <c r="BH60" s="21">
        <f t="shared" si="39"/>
        <v>0</v>
      </c>
      <c r="BI60" s="21">
        <f t="shared" si="40"/>
        <v>0</v>
      </c>
      <c r="BJ60" s="21">
        <f t="shared" si="41"/>
        <v>0</v>
      </c>
      <c r="BK60" s="21" t="s">
        <v>239</v>
      </c>
      <c r="BL60" s="39">
        <v>91</v>
      </c>
    </row>
    <row r="61" spans="1:64" ht="12.75">
      <c r="A61" s="89" t="s">
        <v>46</v>
      </c>
      <c r="B61" s="12"/>
      <c r="C61" s="12" t="s">
        <v>99</v>
      </c>
      <c r="D61" s="12" t="s">
        <v>162</v>
      </c>
      <c r="E61" s="12" t="s">
        <v>183</v>
      </c>
      <c r="F61" s="20">
        <v>1</v>
      </c>
      <c r="G61" s="20"/>
      <c r="H61" s="20"/>
      <c r="I61" s="20"/>
      <c r="J61" s="20"/>
      <c r="K61" s="20">
        <v>0.1133</v>
      </c>
      <c r="L61" s="20">
        <f t="shared" si="21"/>
        <v>0.1133</v>
      </c>
      <c r="M61" s="33" t="s">
        <v>205</v>
      </c>
      <c r="N61" s="37"/>
      <c r="Z61" s="39">
        <f t="shared" si="22"/>
        <v>0</v>
      </c>
      <c r="AB61" s="39">
        <f t="shared" si="23"/>
        <v>0</v>
      </c>
      <c r="AC61" s="39">
        <f t="shared" si="24"/>
        <v>0</v>
      </c>
      <c r="AD61" s="39">
        <f t="shared" si="25"/>
        <v>0</v>
      </c>
      <c r="AE61" s="39">
        <f t="shared" si="26"/>
        <v>0</v>
      </c>
      <c r="AF61" s="39">
        <f t="shared" si="27"/>
        <v>0</v>
      </c>
      <c r="AG61" s="39">
        <f t="shared" si="28"/>
        <v>0</v>
      </c>
      <c r="AH61" s="39">
        <f t="shared" si="29"/>
        <v>0</v>
      </c>
      <c r="AI61" s="29"/>
      <c r="AJ61" s="20">
        <f t="shared" si="30"/>
        <v>0</v>
      </c>
      <c r="AK61" s="20">
        <f t="shared" si="31"/>
        <v>0</v>
      </c>
      <c r="AL61" s="20">
        <f t="shared" si="32"/>
        <v>0</v>
      </c>
      <c r="AN61" s="39">
        <v>15</v>
      </c>
      <c r="AO61" s="39">
        <f>G61*0.637245179063361</f>
        <v>0</v>
      </c>
      <c r="AP61" s="39">
        <f>G61*(1-0.637245179063361)</f>
        <v>0</v>
      </c>
      <c r="AQ61" s="40" t="s">
        <v>7</v>
      </c>
      <c r="AV61" s="39">
        <f t="shared" si="33"/>
        <v>0</v>
      </c>
      <c r="AW61" s="39">
        <f t="shared" si="34"/>
        <v>0</v>
      </c>
      <c r="AX61" s="39">
        <f t="shared" si="35"/>
        <v>0</v>
      </c>
      <c r="AY61" s="42" t="s">
        <v>225</v>
      </c>
      <c r="AZ61" s="42" t="s">
        <v>232</v>
      </c>
      <c r="BA61" s="29" t="s">
        <v>233</v>
      </c>
      <c r="BC61" s="39">
        <f t="shared" si="36"/>
        <v>0</v>
      </c>
      <c r="BD61" s="39">
        <f t="shared" si="37"/>
        <v>0</v>
      </c>
      <c r="BE61" s="39">
        <v>0</v>
      </c>
      <c r="BF61" s="39">
        <f t="shared" si="38"/>
        <v>0.1133</v>
      </c>
      <c r="BH61" s="20">
        <f t="shared" si="39"/>
        <v>0</v>
      </c>
      <c r="BI61" s="20">
        <f t="shared" si="40"/>
        <v>0</v>
      </c>
      <c r="BJ61" s="20">
        <f t="shared" si="41"/>
        <v>0</v>
      </c>
      <c r="BK61" s="20" t="s">
        <v>238</v>
      </c>
      <c r="BL61" s="39">
        <v>91</v>
      </c>
    </row>
    <row r="62" spans="1:64" ht="12.75">
      <c r="A62" s="89" t="s">
        <v>47</v>
      </c>
      <c r="B62" s="12"/>
      <c r="C62" s="12" t="s">
        <v>101</v>
      </c>
      <c r="D62" s="12" t="s">
        <v>163</v>
      </c>
      <c r="E62" s="12" t="s">
        <v>180</v>
      </c>
      <c r="F62" s="20">
        <v>20</v>
      </c>
      <c r="G62" s="20"/>
      <c r="H62" s="20"/>
      <c r="I62" s="20"/>
      <c r="J62" s="20"/>
      <c r="K62" s="20">
        <v>0.00076</v>
      </c>
      <c r="L62" s="20">
        <f t="shared" si="21"/>
        <v>0.015200000000000002</v>
      </c>
      <c r="M62" s="33" t="s">
        <v>205</v>
      </c>
      <c r="N62" s="37"/>
      <c r="Z62" s="39">
        <f t="shared" si="22"/>
        <v>0</v>
      </c>
      <c r="AB62" s="39">
        <f t="shared" si="23"/>
        <v>0</v>
      </c>
      <c r="AC62" s="39">
        <f t="shared" si="24"/>
        <v>0</v>
      </c>
      <c r="AD62" s="39">
        <f t="shared" si="25"/>
        <v>0</v>
      </c>
      <c r="AE62" s="39">
        <f t="shared" si="26"/>
        <v>0</v>
      </c>
      <c r="AF62" s="39">
        <f t="shared" si="27"/>
        <v>0</v>
      </c>
      <c r="AG62" s="39">
        <f t="shared" si="28"/>
        <v>0</v>
      </c>
      <c r="AH62" s="39">
        <f t="shared" si="29"/>
        <v>0</v>
      </c>
      <c r="AI62" s="29"/>
      <c r="AJ62" s="20">
        <f t="shared" si="30"/>
        <v>0</v>
      </c>
      <c r="AK62" s="20">
        <f t="shared" si="31"/>
        <v>0</v>
      </c>
      <c r="AL62" s="20">
        <f t="shared" si="32"/>
        <v>0</v>
      </c>
      <c r="AN62" s="39">
        <v>15</v>
      </c>
      <c r="AO62" s="39">
        <f>G62*0.398351351351351</f>
        <v>0</v>
      </c>
      <c r="AP62" s="39">
        <f>G62*(1-0.398351351351351)</f>
        <v>0</v>
      </c>
      <c r="AQ62" s="40" t="s">
        <v>7</v>
      </c>
      <c r="AV62" s="39">
        <f t="shared" si="33"/>
        <v>0</v>
      </c>
      <c r="AW62" s="39">
        <f t="shared" si="34"/>
        <v>0</v>
      </c>
      <c r="AX62" s="39">
        <f t="shared" si="35"/>
        <v>0</v>
      </c>
      <c r="AY62" s="42" t="s">
        <v>225</v>
      </c>
      <c r="AZ62" s="42" t="s">
        <v>232</v>
      </c>
      <c r="BA62" s="29" t="s">
        <v>233</v>
      </c>
      <c r="BC62" s="39">
        <f t="shared" si="36"/>
        <v>0</v>
      </c>
      <c r="BD62" s="39">
        <f t="shared" si="37"/>
        <v>0</v>
      </c>
      <c r="BE62" s="39">
        <v>0</v>
      </c>
      <c r="BF62" s="39">
        <f t="shared" si="38"/>
        <v>0.015200000000000002</v>
      </c>
      <c r="BH62" s="20">
        <f t="shared" si="39"/>
        <v>0</v>
      </c>
      <c r="BI62" s="20">
        <f t="shared" si="40"/>
        <v>0</v>
      </c>
      <c r="BJ62" s="20">
        <f t="shared" si="41"/>
        <v>0</v>
      </c>
      <c r="BK62" s="20" t="s">
        <v>238</v>
      </c>
      <c r="BL62" s="39">
        <v>91</v>
      </c>
    </row>
    <row r="63" spans="1:64" ht="12.75">
      <c r="A63" s="89" t="s">
        <v>48</v>
      </c>
      <c r="B63" s="12"/>
      <c r="C63" s="12" t="s">
        <v>102</v>
      </c>
      <c r="D63" s="12" t="s">
        <v>164</v>
      </c>
      <c r="E63" s="12" t="s">
        <v>185</v>
      </c>
      <c r="F63" s="20">
        <v>1</v>
      </c>
      <c r="G63" s="20"/>
      <c r="H63" s="20"/>
      <c r="I63" s="20"/>
      <c r="J63" s="20"/>
      <c r="K63" s="20">
        <v>0</v>
      </c>
      <c r="L63" s="20">
        <f t="shared" si="21"/>
        <v>0</v>
      </c>
      <c r="M63" s="33"/>
      <c r="N63" s="37"/>
      <c r="Z63" s="39">
        <f t="shared" si="22"/>
        <v>0</v>
      </c>
      <c r="AB63" s="39">
        <f t="shared" si="23"/>
        <v>0</v>
      </c>
      <c r="AC63" s="39">
        <f t="shared" si="24"/>
        <v>0</v>
      </c>
      <c r="AD63" s="39">
        <f t="shared" si="25"/>
        <v>0</v>
      </c>
      <c r="AE63" s="39">
        <f t="shared" si="26"/>
        <v>0</v>
      </c>
      <c r="AF63" s="39">
        <f t="shared" si="27"/>
        <v>0</v>
      </c>
      <c r="AG63" s="39">
        <f t="shared" si="28"/>
        <v>0</v>
      </c>
      <c r="AH63" s="39">
        <f t="shared" si="29"/>
        <v>0</v>
      </c>
      <c r="AI63" s="29"/>
      <c r="AJ63" s="20">
        <f t="shared" si="30"/>
        <v>0</v>
      </c>
      <c r="AK63" s="20">
        <f t="shared" si="31"/>
        <v>0</v>
      </c>
      <c r="AL63" s="20">
        <f t="shared" si="32"/>
        <v>0</v>
      </c>
      <c r="AN63" s="39">
        <v>15</v>
      </c>
      <c r="AO63" s="39">
        <f>G63*0.958083832335329</f>
        <v>0</v>
      </c>
      <c r="AP63" s="39">
        <f>G63*(1-0.958083832335329)</f>
        <v>0</v>
      </c>
      <c r="AQ63" s="40" t="s">
        <v>7</v>
      </c>
      <c r="AV63" s="39">
        <f t="shared" si="33"/>
        <v>0</v>
      </c>
      <c r="AW63" s="39">
        <f t="shared" si="34"/>
        <v>0</v>
      </c>
      <c r="AX63" s="39">
        <f t="shared" si="35"/>
        <v>0</v>
      </c>
      <c r="AY63" s="42" t="s">
        <v>225</v>
      </c>
      <c r="AZ63" s="42" t="s">
        <v>232</v>
      </c>
      <c r="BA63" s="29" t="s">
        <v>233</v>
      </c>
      <c r="BC63" s="39">
        <f t="shared" si="36"/>
        <v>0</v>
      </c>
      <c r="BD63" s="39">
        <f t="shared" si="37"/>
        <v>0</v>
      </c>
      <c r="BE63" s="39">
        <v>0</v>
      </c>
      <c r="BF63" s="39">
        <f t="shared" si="38"/>
        <v>0</v>
      </c>
      <c r="BH63" s="20">
        <f t="shared" si="39"/>
        <v>0</v>
      </c>
      <c r="BI63" s="20">
        <f t="shared" si="40"/>
        <v>0</v>
      </c>
      <c r="BJ63" s="20">
        <f t="shared" si="41"/>
        <v>0</v>
      </c>
      <c r="BK63" s="20" t="s">
        <v>238</v>
      </c>
      <c r="BL63" s="39">
        <v>91</v>
      </c>
    </row>
    <row r="64" spans="1:64" ht="12.75">
      <c r="A64" s="89" t="s">
        <v>49</v>
      </c>
      <c r="B64" s="12"/>
      <c r="C64" s="87" t="s">
        <v>103</v>
      </c>
      <c r="D64" s="87" t="s">
        <v>296</v>
      </c>
      <c r="E64" s="87" t="s">
        <v>184</v>
      </c>
      <c r="F64" s="20">
        <v>27</v>
      </c>
      <c r="G64" s="20"/>
      <c r="H64" s="20"/>
      <c r="I64" s="20"/>
      <c r="J64" s="20"/>
      <c r="K64" s="20"/>
      <c r="L64" s="20"/>
      <c r="M64" s="33"/>
      <c r="N64" s="37"/>
      <c r="Z64" s="39"/>
      <c r="AB64" s="39"/>
      <c r="AC64" s="39"/>
      <c r="AD64" s="39"/>
      <c r="AE64" s="39"/>
      <c r="AF64" s="39"/>
      <c r="AG64" s="39"/>
      <c r="AH64" s="39"/>
      <c r="AI64" s="29"/>
      <c r="AJ64" s="20"/>
      <c r="AK64" s="20"/>
      <c r="AL64" s="20"/>
      <c r="AN64" s="39"/>
      <c r="AO64" s="39"/>
      <c r="AP64" s="39"/>
      <c r="AQ64" s="40"/>
      <c r="AV64" s="39"/>
      <c r="AW64" s="39"/>
      <c r="AX64" s="39"/>
      <c r="AY64" s="42"/>
      <c r="AZ64" s="42"/>
      <c r="BA64" s="29"/>
      <c r="BC64" s="39"/>
      <c r="BD64" s="39"/>
      <c r="BE64" s="39"/>
      <c r="BF64" s="39"/>
      <c r="BH64" s="20"/>
      <c r="BI64" s="20"/>
      <c r="BJ64" s="20">
        <f t="shared" si="41"/>
        <v>0</v>
      </c>
      <c r="BK64" s="20"/>
      <c r="BL64" s="39"/>
    </row>
    <row r="65" spans="1:64" ht="12.75">
      <c r="A65" s="89" t="s">
        <v>50</v>
      </c>
      <c r="B65" s="12"/>
      <c r="C65" s="87" t="s">
        <v>292</v>
      </c>
      <c r="D65" s="87" t="s">
        <v>297</v>
      </c>
      <c r="E65" s="87" t="s">
        <v>184</v>
      </c>
      <c r="F65" s="20">
        <v>27</v>
      </c>
      <c r="G65" s="20"/>
      <c r="H65" s="20"/>
      <c r="I65" s="20"/>
      <c r="J65" s="20"/>
      <c r="K65" s="20"/>
      <c r="L65" s="20"/>
      <c r="M65" s="33"/>
      <c r="N65" s="37"/>
      <c r="Z65" s="39"/>
      <c r="AB65" s="39"/>
      <c r="AC65" s="39"/>
      <c r="AD65" s="39"/>
      <c r="AE65" s="39"/>
      <c r="AF65" s="39"/>
      <c r="AG65" s="39"/>
      <c r="AH65" s="39"/>
      <c r="AI65" s="29"/>
      <c r="AJ65" s="20"/>
      <c r="AK65" s="20"/>
      <c r="AL65" s="20"/>
      <c r="AN65" s="39"/>
      <c r="AO65" s="39"/>
      <c r="AP65" s="39"/>
      <c r="AQ65" s="40"/>
      <c r="AV65" s="39"/>
      <c r="AW65" s="39"/>
      <c r="AX65" s="39"/>
      <c r="AY65" s="42"/>
      <c r="AZ65" s="42"/>
      <c r="BA65" s="29"/>
      <c r="BC65" s="39"/>
      <c r="BD65" s="39"/>
      <c r="BE65" s="39"/>
      <c r="BF65" s="39"/>
      <c r="BH65" s="20"/>
      <c r="BI65" s="20"/>
      <c r="BJ65" s="20">
        <f t="shared" si="41"/>
        <v>0</v>
      </c>
      <c r="BK65" s="20"/>
      <c r="BL65" s="39"/>
    </row>
    <row r="66" spans="1:64" ht="25.5">
      <c r="A66" s="89" t="s">
        <v>51</v>
      </c>
      <c r="B66" s="12"/>
      <c r="C66" s="87" t="s">
        <v>293</v>
      </c>
      <c r="D66" s="88" t="s">
        <v>298</v>
      </c>
      <c r="E66" s="87" t="s">
        <v>184</v>
      </c>
      <c r="F66" s="20">
        <v>27</v>
      </c>
      <c r="G66" s="20"/>
      <c r="H66" s="20"/>
      <c r="I66" s="20"/>
      <c r="J66" s="20"/>
      <c r="K66" s="20"/>
      <c r="L66" s="20"/>
      <c r="M66" s="33"/>
      <c r="N66" s="37"/>
      <c r="Z66" s="39"/>
      <c r="AB66" s="39"/>
      <c r="AC66" s="39"/>
      <c r="AD66" s="39"/>
      <c r="AE66" s="39"/>
      <c r="AF66" s="39"/>
      <c r="AG66" s="39"/>
      <c r="AH66" s="39"/>
      <c r="AI66" s="29"/>
      <c r="AJ66" s="20"/>
      <c r="AK66" s="20"/>
      <c r="AL66" s="20"/>
      <c r="AN66" s="39"/>
      <c r="AO66" s="39"/>
      <c r="AP66" s="39"/>
      <c r="AQ66" s="40"/>
      <c r="AV66" s="39"/>
      <c r="AW66" s="39"/>
      <c r="AX66" s="39"/>
      <c r="AY66" s="42"/>
      <c r="AZ66" s="42"/>
      <c r="BA66" s="29"/>
      <c r="BC66" s="39"/>
      <c r="BD66" s="39"/>
      <c r="BE66" s="39"/>
      <c r="BF66" s="39"/>
      <c r="BH66" s="20"/>
      <c r="BI66" s="20"/>
      <c r="BJ66" s="20">
        <f t="shared" si="41"/>
        <v>0</v>
      </c>
      <c r="BK66" s="20"/>
      <c r="BL66" s="39"/>
    </row>
    <row r="67" spans="1:64" ht="25.5">
      <c r="A67" s="89" t="s">
        <v>52</v>
      </c>
      <c r="B67" s="12"/>
      <c r="C67" s="87" t="s">
        <v>294</v>
      </c>
      <c r="D67" s="88" t="s">
        <v>299</v>
      </c>
      <c r="E67" s="87" t="s">
        <v>184</v>
      </c>
      <c r="F67" s="20">
        <v>19</v>
      </c>
      <c r="G67" s="20"/>
      <c r="H67" s="20"/>
      <c r="I67" s="20"/>
      <c r="J67" s="20"/>
      <c r="K67" s="20"/>
      <c r="L67" s="20"/>
      <c r="M67" s="33"/>
      <c r="N67" s="37"/>
      <c r="Z67" s="39"/>
      <c r="AB67" s="39"/>
      <c r="AC67" s="39"/>
      <c r="AD67" s="39"/>
      <c r="AE67" s="39"/>
      <c r="AF67" s="39"/>
      <c r="AG67" s="39"/>
      <c r="AH67" s="39"/>
      <c r="AI67" s="29"/>
      <c r="AJ67" s="20"/>
      <c r="AK67" s="20"/>
      <c r="AL67" s="20"/>
      <c r="AN67" s="39"/>
      <c r="AO67" s="39"/>
      <c r="AP67" s="39"/>
      <c r="AQ67" s="40"/>
      <c r="AV67" s="39"/>
      <c r="AW67" s="39"/>
      <c r="AX67" s="39"/>
      <c r="AY67" s="42"/>
      <c r="AZ67" s="42"/>
      <c r="BA67" s="29"/>
      <c r="BC67" s="39"/>
      <c r="BD67" s="39"/>
      <c r="BE67" s="39"/>
      <c r="BF67" s="39"/>
      <c r="BH67" s="20"/>
      <c r="BI67" s="20"/>
      <c r="BJ67" s="20">
        <f t="shared" si="41"/>
        <v>0</v>
      </c>
      <c r="BK67" s="20"/>
      <c r="BL67" s="39"/>
    </row>
    <row r="68" spans="1:64" ht="12.75">
      <c r="A68" s="89" t="s">
        <v>53</v>
      </c>
      <c r="B68" s="12"/>
      <c r="C68" s="87" t="s">
        <v>295</v>
      </c>
      <c r="D68" s="12" t="s">
        <v>165</v>
      </c>
      <c r="E68" s="12" t="s">
        <v>185</v>
      </c>
      <c r="F68" s="20">
        <v>1</v>
      </c>
      <c r="G68" s="20"/>
      <c r="H68" s="20"/>
      <c r="I68" s="20"/>
      <c r="J68" s="20"/>
      <c r="K68" s="20">
        <v>0</v>
      </c>
      <c r="L68" s="20">
        <f t="shared" si="21"/>
        <v>0</v>
      </c>
      <c r="M68" s="33"/>
      <c r="N68" s="37"/>
      <c r="Z68" s="39">
        <f t="shared" si="22"/>
        <v>0</v>
      </c>
      <c r="AB68" s="39">
        <f t="shared" si="23"/>
        <v>0</v>
      </c>
      <c r="AC68" s="39">
        <f t="shared" si="24"/>
        <v>0</v>
      </c>
      <c r="AD68" s="39">
        <f t="shared" si="25"/>
        <v>0</v>
      </c>
      <c r="AE68" s="39">
        <f t="shared" si="26"/>
        <v>0</v>
      </c>
      <c r="AF68" s="39">
        <f t="shared" si="27"/>
        <v>0</v>
      </c>
      <c r="AG68" s="39">
        <f t="shared" si="28"/>
        <v>0</v>
      </c>
      <c r="AH68" s="39">
        <f t="shared" si="29"/>
        <v>0</v>
      </c>
      <c r="AI68" s="29"/>
      <c r="AJ68" s="20">
        <f t="shared" si="30"/>
        <v>0</v>
      </c>
      <c r="AK68" s="20">
        <f t="shared" si="31"/>
        <v>0</v>
      </c>
      <c r="AL68" s="20">
        <f t="shared" si="32"/>
        <v>0</v>
      </c>
      <c r="AN68" s="39">
        <v>15</v>
      </c>
      <c r="AO68" s="39">
        <f>G68*0.3</f>
        <v>0</v>
      </c>
      <c r="AP68" s="39">
        <f>G68*(1-0.3)</f>
        <v>0</v>
      </c>
      <c r="AQ68" s="40" t="s">
        <v>7</v>
      </c>
      <c r="AV68" s="39">
        <f t="shared" si="33"/>
        <v>0</v>
      </c>
      <c r="AW68" s="39">
        <f t="shared" si="34"/>
        <v>0</v>
      </c>
      <c r="AX68" s="39">
        <f t="shared" si="35"/>
        <v>0</v>
      </c>
      <c r="AY68" s="42" t="s">
        <v>225</v>
      </c>
      <c r="AZ68" s="42" t="s">
        <v>232</v>
      </c>
      <c r="BA68" s="29" t="s">
        <v>233</v>
      </c>
      <c r="BC68" s="39">
        <f t="shared" si="36"/>
        <v>0</v>
      </c>
      <c r="BD68" s="39">
        <f t="shared" si="37"/>
        <v>0</v>
      </c>
      <c r="BE68" s="39">
        <v>0</v>
      </c>
      <c r="BF68" s="39">
        <f t="shared" si="38"/>
        <v>0</v>
      </c>
      <c r="BH68" s="20">
        <f t="shared" si="39"/>
        <v>0</v>
      </c>
      <c r="BI68" s="20">
        <f t="shared" si="40"/>
        <v>0</v>
      </c>
      <c r="BJ68" s="20">
        <f t="shared" si="41"/>
        <v>0</v>
      </c>
      <c r="BK68" s="20" t="s">
        <v>238</v>
      </c>
      <c r="BL68" s="39">
        <v>91</v>
      </c>
    </row>
    <row r="69" spans="1:64" ht="12.75">
      <c r="A69" s="89" t="s">
        <v>54</v>
      </c>
      <c r="B69" s="12"/>
      <c r="C69" s="12" t="s">
        <v>105</v>
      </c>
      <c r="D69" s="12" t="s">
        <v>166</v>
      </c>
      <c r="E69" s="12" t="s">
        <v>186</v>
      </c>
      <c r="F69" s="20">
        <v>1438.0743</v>
      </c>
      <c r="G69" s="20"/>
      <c r="H69" s="20"/>
      <c r="I69" s="20"/>
      <c r="J69" s="20"/>
      <c r="K69" s="20">
        <v>0</v>
      </c>
      <c r="L69" s="20">
        <f>F69*K69</f>
        <v>0</v>
      </c>
      <c r="M69" s="33" t="s">
        <v>205</v>
      </c>
      <c r="N69" s="37"/>
      <c r="Z69" s="39">
        <f>IF(AQ69="5",BJ69,0)</f>
        <v>0</v>
      </c>
      <c r="AB69" s="39">
        <f>IF(AQ69="1",BH69,0)</f>
        <v>0</v>
      </c>
      <c r="AC69" s="39">
        <f>IF(AQ69="1",BI69,0)</f>
        <v>0</v>
      </c>
      <c r="AD69" s="39">
        <f>IF(AQ69="7",BH69,0)</f>
        <v>0</v>
      </c>
      <c r="AE69" s="39">
        <f>IF(AQ69="7",BI69,0)</f>
        <v>0</v>
      </c>
      <c r="AF69" s="39">
        <f>IF(AQ69="2",BH69,0)</f>
        <v>0</v>
      </c>
      <c r="AG69" s="39">
        <f>IF(AQ69="2",BI69,0)</f>
        <v>0</v>
      </c>
      <c r="AH69" s="39">
        <f>IF(AQ69="0",BJ69,0)</f>
        <v>0</v>
      </c>
      <c r="AI69" s="29"/>
      <c r="AJ69" s="20">
        <f>IF(AN69=0,J69,0)</f>
        <v>0</v>
      </c>
      <c r="AK69" s="20">
        <f>IF(AN69=15,J69,0)</f>
        <v>0</v>
      </c>
      <c r="AL69" s="20">
        <f>IF(AN69=21,J69,0)</f>
        <v>0</v>
      </c>
      <c r="AN69" s="39">
        <v>15</v>
      </c>
      <c r="AO69" s="39">
        <f>G69*0</f>
        <v>0</v>
      </c>
      <c r="AP69" s="39">
        <f>G69*(1-0)</f>
        <v>0</v>
      </c>
      <c r="AQ69" s="40" t="s">
        <v>11</v>
      </c>
      <c r="AV69" s="39">
        <f>AW69+AX69</f>
        <v>0</v>
      </c>
      <c r="AW69" s="39">
        <f>F69*AO69</f>
        <v>0</v>
      </c>
      <c r="AX69" s="39">
        <f>F69*AP69</f>
        <v>0</v>
      </c>
      <c r="AY69" s="42" t="s">
        <v>226</v>
      </c>
      <c r="AZ69" s="42" t="s">
        <v>232</v>
      </c>
      <c r="BA69" s="29" t="s">
        <v>233</v>
      </c>
      <c r="BC69" s="39">
        <f>AW69+AX69</f>
        <v>0</v>
      </c>
      <c r="BD69" s="39">
        <f>G69/(100-BE69)*100</f>
        <v>0</v>
      </c>
      <c r="BE69" s="39">
        <v>0</v>
      </c>
      <c r="BF69" s="39">
        <f>L69</f>
        <v>0</v>
      </c>
      <c r="BH69" s="20">
        <f>F69*AO69</f>
        <v>0</v>
      </c>
      <c r="BI69" s="20">
        <f>F69*AP69</f>
        <v>0</v>
      </c>
      <c r="BJ69" s="20">
        <f>F69*G69</f>
        <v>0</v>
      </c>
      <c r="BK69" s="20" t="s">
        <v>238</v>
      </c>
      <c r="BL69" s="39" t="s">
        <v>104</v>
      </c>
    </row>
    <row r="70" spans="1:47" ht="12.75">
      <c r="A70" s="5"/>
      <c r="B70" s="13"/>
      <c r="C70" s="13" t="s">
        <v>106</v>
      </c>
      <c r="D70" s="13" t="s">
        <v>167</v>
      </c>
      <c r="E70" s="18" t="s">
        <v>6</v>
      </c>
      <c r="F70" s="18" t="s">
        <v>6</v>
      </c>
      <c r="G70" s="18"/>
      <c r="H70" s="45"/>
      <c r="I70" s="45"/>
      <c r="J70" s="45"/>
      <c r="K70" s="29"/>
      <c r="L70" s="45">
        <f>SUM(L71:L76)</f>
        <v>0</v>
      </c>
      <c r="M70" s="34"/>
      <c r="N70" s="37"/>
      <c r="AI70" s="29"/>
      <c r="AS70" s="45">
        <f>SUM(AJ71:AJ76)</f>
        <v>0</v>
      </c>
      <c r="AT70" s="45">
        <f>SUM(AK71:AK76)</f>
        <v>0</v>
      </c>
      <c r="AU70" s="45">
        <f>SUM(AL71:AL76)</f>
        <v>0</v>
      </c>
    </row>
    <row r="71" spans="1:64" ht="12.75">
      <c r="A71" s="89" t="s">
        <v>300</v>
      </c>
      <c r="B71" s="12"/>
      <c r="C71" s="12" t="s">
        <v>107</v>
      </c>
      <c r="D71" s="12" t="s">
        <v>168</v>
      </c>
      <c r="E71" s="12" t="s">
        <v>186</v>
      </c>
      <c r="F71" s="20">
        <v>97.105</v>
      </c>
      <c r="G71" s="20"/>
      <c r="H71" s="20"/>
      <c r="I71" s="20"/>
      <c r="J71" s="20"/>
      <c r="K71" s="20">
        <v>0</v>
      </c>
      <c r="L71" s="20">
        <f aca="true" t="shared" si="42" ref="L71:L76">F71*K71</f>
        <v>0</v>
      </c>
      <c r="M71" s="33" t="s">
        <v>205</v>
      </c>
      <c r="N71" s="37"/>
      <c r="Z71" s="39">
        <f aca="true" t="shared" si="43" ref="Z71:Z76">IF(AQ71="5",BJ71,0)</f>
        <v>0</v>
      </c>
      <c r="AB71" s="39">
        <f aca="true" t="shared" si="44" ref="AB71:AB76">IF(AQ71="1",BH71,0)</f>
        <v>0</v>
      </c>
      <c r="AC71" s="39">
        <f aca="true" t="shared" si="45" ref="AC71:AC76">IF(AQ71="1",BI71,0)</f>
        <v>0</v>
      </c>
      <c r="AD71" s="39">
        <f aca="true" t="shared" si="46" ref="AD71:AD76">IF(AQ71="7",BH71,0)</f>
        <v>0</v>
      </c>
      <c r="AE71" s="39">
        <f aca="true" t="shared" si="47" ref="AE71:AE76">IF(AQ71="7",BI71,0)</f>
        <v>0</v>
      </c>
      <c r="AF71" s="39">
        <f aca="true" t="shared" si="48" ref="AF71:AF76">IF(AQ71="2",BH71,0)</f>
        <v>0</v>
      </c>
      <c r="AG71" s="39">
        <f aca="true" t="shared" si="49" ref="AG71:AG76">IF(AQ71="2",BI71,0)</f>
        <v>0</v>
      </c>
      <c r="AH71" s="39">
        <f aca="true" t="shared" si="50" ref="AH71:AH76">IF(AQ71="0",BJ71,0)</f>
        <v>0</v>
      </c>
      <c r="AI71" s="29"/>
      <c r="AJ71" s="20">
        <f aca="true" t="shared" si="51" ref="AJ71:AJ76">IF(AN71=0,J71,0)</f>
        <v>0</v>
      </c>
      <c r="AK71" s="20">
        <f aca="true" t="shared" si="52" ref="AK71:AK76">IF(AN71=15,J71,0)</f>
        <v>0</v>
      </c>
      <c r="AL71" s="20">
        <f aca="true" t="shared" si="53" ref="AL71:AL76">IF(AN71=21,J71,0)</f>
        <v>0</v>
      </c>
      <c r="AN71" s="39">
        <v>15</v>
      </c>
      <c r="AO71" s="39">
        <f>G71*0</f>
        <v>0</v>
      </c>
      <c r="AP71" s="39">
        <f>G71*(1-0)</f>
        <v>0</v>
      </c>
      <c r="AQ71" s="40" t="s">
        <v>11</v>
      </c>
      <c r="AV71" s="39">
        <f aca="true" t="shared" si="54" ref="AV71:AV76">AW71+AX71</f>
        <v>0</v>
      </c>
      <c r="AW71" s="39">
        <f aca="true" t="shared" si="55" ref="AW71:AW76">F71*AO71</f>
        <v>0</v>
      </c>
      <c r="AX71" s="39">
        <f aca="true" t="shared" si="56" ref="AX71:AX76">F71*AP71</f>
        <v>0</v>
      </c>
      <c r="AY71" s="42" t="s">
        <v>227</v>
      </c>
      <c r="AZ71" s="42" t="s">
        <v>232</v>
      </c>
      <c r="BA71" s="29" t="s">
        <v>233</v>
      </c>
      <c r="BC71" s="39">
        <f aca="true" t="shared" si="57" ref="BC71:BC76">AW71+AX71</f>
        <v>0</v>
      </c>
      <c r="BD71" s="39">
        <f aca="true" t="shared" si="58" ref="BD71:BD76">G71/(100-BE71)*100</f>
        <v>0</v>
      </c>
      <c r="BE71" s="39">
        <v>0</v>
      </c>
      <c r="BF71" s="39">
        <f aca="true" t="shared" si="59" ref="BF71:BF76">L71</f>
        <v>0</v>
      </c>
      <c r="BH71" s="20">
        <f aca="true" t="shared" si="60" ref="BH71:BH76">F71*AO71</f>
        <v>0</v>
      </c>
      <c r="BI71" s="20">
        <f aca="true" t="shared" si="61" ref="BI71:BI76">F71*AP71</f>
        <v>0</v>
      </c>
      <c r="BJ71" s="20">
        <f aca="true" t="shared" si="62" ref="BJ71:BJ76">F71*G71</f>
        <v>0</v>
      </c>
      <c r="BK71" s="20" t="s">
        <v>238</v>
      </c>
      <c r="BL71" s="39" t="s">
        <v>106</v>
      </c>
    </row>
    <row r="72" spans="1:64" ht="12.75">
      <c r="A72" s="89" t="s">
        <v>301</v>
      </c>
      <c r="B72" s="12"/>
      <c r="C72" s="12" t="s">
        <v>108</v>
      </c>
      <c r="D72" s="12" t="s">
        <v>169</v>
      </c>
      <c r="E72" s="12" t="s">
        <v>186</v>
      </c>
      <c r="F72" s="20">
        <v>97.105</v>
      </c>
      <c r="G72" s="20"/>
      <c r="H72" s="20"/>
      <c r="I72" s="20"/>
      <c r="J72" s="20"/>
      <c r="K72" s="20">
        <v>0</v>
      </c>
      <c r="L72" s="20">
        <f t="shared" si="42"/>
        <v>0</v>
      </c>
      <c r="M72" s="33" t="s">
        <v>205</v>
      </c>
      <c r="N72" s="37"/>
      <c r="Z72" s="39">
        <f t="shared" si="43"/>
        <v>0</v>
      </c>
      <c r="AB72" s="39">
        <f t="shared" si="44"/>
        <v>0</v>
      </c>
      <c r="AC72" s="39">
        <f t="shared" si="45"/>
        <v>0</v>
      </c>
      <c r="AD72" s="39">
        <f t="shared" si="46"/>
        <v>0</v>
      </c>
      <c r="AE72" s="39">
        <f t="shared" si="47"/>
        <v>0</v>
      </c>
      <c r="AF72" s="39">
        <f t="shared" si="48"/>
        <v>0</v>
      </c>
      <c r="AG72" s="39">
        <f t="shared" si="49"/>
        <v>0</v>
      </c>
      <c r="AH72" s="39">
        <f t="shared" si="50"/>
        <v>0</v>
      </c>
      <c r="AI72" s="29"/>
      <c r="AJ72" s="20">
        <f t="shared" si="51"/>
        <v>0</v>
      </c>
      <c r="AK72" s="20">
        <f t="shared" si="52"/>
        <v>0</v>
      </c>
      <c r="AL72" s="20">
        <f t="shared" si="53"/>
        <v>0</v>
      </c>
      <c r="AN72" s="39">
        <v>15</v>
      </c>
      <c r="AO72" s="39">
        <f>G72*0</f>
        <v>0</v>
      </c>
      <c r="AP72" s="39">
        <f>G72*(1-0)</f>
        <v>0</v>
      </c>
      <c r="AQ72" s="40" t="s">
        <v>11</v>
      </c>
      <c r="AV72" s="39">
        <f t="shared" si="54"/>
        <v>0</v>
      </c>
      <c r="AW72" s="39">
        <f t="shared" si="55"/>
        <v>0</v>
      </c>
      <c r="AX72" s="39">
        <f t="shared" si="56"/>
        <v>0</v>
      </c>
      <c r="AY72" s="42" t="s">
        <v>227</v>
      </c>
      <c r="AZ72" s="42" t="s">
        <v>232</v>
      </c>
      <c r="BA72" s="29" t="s">
        <v>233</v>
      </c>
      <c r="BC72" s="39">
        <f t="shared" si="57"/>
        <v>0</v>
      </c>
      <c r="BD72" s="39">
        <f t="shared" si="58"/>
        <v>0</v>
      </c>
      <c r="BE72" s="39">
        <v>0</v>
      </c>
      <c r="BF72" s="39">
        <f t="shared" si="59"/>
        <v>0</v>
      </c>
      <c r="BH72" s="20">
        <f t="shared" si="60"/>
        <v>0</v>
      </c>
      <c r="BI72" s="20">
        <f t="shared" si="61"/>
        <v>0</v>
      </c>
      <c r="BJ72" s="20">
        <f t="shared" si="62"/>
        <v>0</v>
      </c>
      <c r="BK72" s="20" t="s">
        <v>238</v>
      </c>
      <c r="BL72" s="39" t="s">
        <v>106</v>
      </c>
    </row>
    <row r="73" spans="1:64" ht="12.75">
      <c r="A73" s="89" t="s">
        <v>302</v>
      </c>
      <c r="B73" s="12"/>
      <c r="C73" s="12" t="s">
        <v>109</v>
      </c>
      <c r="D73" s="12" t="s">
        <v>170</v>
      </c>
      <c r="E73" s="12" t="s">
        <v>186</v>
      </c>
      <c r="F73" s="20">
        <v>97.105</v>
      </c>
      <c r="G73" s="20"/>
      <c r="H73" s="20"/>
      <c r="I73" s="20"/>
      <c r="J73" s="20"/>
      <c r="K73" s="20">
        <v>0</v>
      </c>
      <c r="L73" s="20">
        <f t="shared" si="42"/>
        <v>0</v>
      </c>
      <c r="M73" s="33" t="s">
        <v>205</v>
      </c>
      <c r="N73" s="37"/>
      <c r="Z73" s="39">
        <f t="shared" si="43"/>
        <v>0</v>
      </c>
      <c r="AB73" s="39">
        <f t="shared" si="44"/>
        <v>0</v>
      </c>
      <c r="AC73" s="39">
        <f t="shared" si="45"/>
        <v>0</v>
      </c>
      <c r="AD73" s="39">
        <f t="shared" si="46"/>
        <v>0</v>
      </c>
      <c r="AE73" s="39">
        <f t="shared" si="47"/>
        <v>0</v>
      </c>
      <c r="AF73" s="39">
        <f t="shared" si="48"/>
        <v>0</v>
      </c>
      <c r="AG73" s="39">
        <f t="shared" si="49"/>
        <v>0</v>
      </c>
      <c r="AH73" s="39">
        <f t="shared" si="50"/>
        <v>0</v>
      </c>
      <c r="AI73" s="29"/>
      <c r="AJ73" s="20">
        <f t="shared" si="51"/>
        <v>0</v>
      </c>
      <c r="AK73" s="20">
        <f t="shared" si="52"/>
        <v>0</v>
      </c>
      <c r="AL73" s="20">
        <f t="shared" si="53"/>
        <v>0</v>
      </c>
      <c r="AN73" s="39">
        <v>15</v>
      </c>
      <c r="AO73" s="39">
        <f>G73*0.00974589013725301</f>
        <v>0</v>
      </c>
      <c r="AP73" s="39">
        <f>G73*(1-0.00974589013725301)</f>
        <v>0</v>
      </c>
      <c r="AQ73" s="40" t="s">
        <v>11</v>
      </c>
      <c r="AV73" s="39">
        <f t="shared" si="54"/>
        <v>0</v>
      </c>
      <c r="AW73" s="39">
        <f t="shared" si="55"/>
        <v>0</v>
      </c>
      <c r="AX73" s="39">
        <f t="shared" si="56"/>
        <v>0</v>
      </c>
      <c r="AY73" s="42" t="s">
        <v>227</v>
      </c>
      <c r="AZ73" s="42" t="s">
        <v>232</v>
      </c>
      <c r="BA73" s="29" t="s">
        <v>233</v>
      </c>
      <c r="BC73" s="39">
        <f t="shared" si="57"/>
        <v>0</v>
      </c>
      <c r="BD73" s="39">
        <f t="shared" si="58"/>
        <v>0</v>
      </c>
      <c r="BE73" s="39">
        <v>0</v>
      </c>
      <c r="BF73" s="39">
        <f t="shared" si="59"/>
        <v>0</v>
      </c>
      <c r="BH73" s="20">
        <f t="shared" si="60"/>
        <v>0</v>
      </c>
      <c r="BI73" s="20">
        <f t="shared" si="61"/>
        <v>0</v>
      </c>
      <c r="BJ73" s="20">
        <f t="shared" si="62"/>
        <v>0</v>
      </c>
      <c r="BK73" s="20" t="s">
        <v>238</v>
      </c>
      <c r="BL73" s="39" t="s">
        <v>106</v>
      </c>
    </row>
    <row r="74" spans="1:64" ht="12.75">
      <c r="A74" s="89" t="s">
        <v>303</v>
      </c>
      <c r="B74" s="12"/>
      <c r="C74" s="12" t="s">
        <v>110</v>
      </c>
      <c r="D74" s="12" t="s">
        <v>171</v>
      </c>
      <c r="E74" s="12" t="s">
        <v>186</v>
      </c>
      <c r="F74" s="20">
        <v>582.63</v>
      </c>
      <c r="G74" s="20"/>
      <c r="H74" s="20"/>
      <c r="I74" s="20"/>
      <c r="J74" s="20"/>
      <c r="K74" s="20">
        <v>0</v>
      </c>
      <c r="L74" s="20">
        <f t="shared" si="42"/>
        <v>0</v>
      </c>
      <c r="M74" s="33" t="s">
        <v>205</v>
      </c>
      <c r="N74" s="37"/>
      <c r="Z74" s="39">
        <f t="shared" si="43"/>
        <v>0</v>
      </c>
      <c r="AB74" s="39">
        <f t="shared" si="44"/>
        <v>0</v>
      </c>
      <c r="AC74" s="39">
        <f t="shared" si="45"/>
        <v>0</v>
      </c>
      <c r="AD74" s="39">
        <f t="shared" si="46"/>
        <v>0</v>
      </c>
      <c r="AE74" s="39">
        <f t="shared" si="47"/>
        <v>0</v>
      </c>
      <c r="AF74" s="39">
        <f t="shared" si="48"/>
        <v>0</v>
      </c>
      <c r="AG74" s="39">
        <f t="shared" si="49"/>
        <v>0</v>
      </c>
      <c r="AH74" s="39">
        <f t="shared" si="50"/>
        <v>0</v>
      </c>
      <c r="AI74" s="29"/>
      <c r="AJ74" s="20">
        <f t="shared" si="51"/>
        <v>0</v>
      </c>
      <c r="AK74" s="20">
        <f t="shared" si="52"/>
        <v>0</v>
      </c>
      <c r="AL74" s="20">
        <f t="shared" si="53"/>
        <v>0</v>
      </c>
      <c r="AN74" s="39">
        <v>15</v>
      </c>
      <c r="AO74" s="39">
        <f>G74*0</f>
        <v>0</v>
      </c>
      <c r="AP74" s="39">
        <f>G74*(1-0)</f>
        <v>0</v>
      </c>
      <c r="AQ74" s="40" t="s">
        <v>11</v>
      </c>
      <c r="AV74" s="39">
        <f t="shared" si="54"/>
        <v>0</v>
      </c>
      <c r="AW74" s="39">
        <f t="shared" si="55"/>
        <v>0</v>
      </c>
      <c r="AX74" s="39">
        <f t="shared" si="56"/>
        <v>0</v>
      </c>
      <c r="AY74" s="42" t="s">
        <v>227</v>
      </c>
      <c r="AZ74" s="42" t="s">
        <v>232</v>
      </c>
      <c r="BA74" s="29" t="s">
        <v>233</v>
      </c>
      <c r="BC74" s="39">
        <f t="shared" si="57"/>
        <v>0</v>
      </c>
      <c r="BD74" s="39">
        <f t="shared" si="58"/>
        <v>0</v>
      </c>
      <c r="BE74" s="39">
        <v>0</v>
      </c>
      <c r="BF74" s="39">
        <f t="shared" si="59"/>
        <v>0</v>
      </c>
      <c r="BH74" s="20">
        <f t="shared" si="60"/>
        <v>0</v>
      </c>
      <c r="BI74" s="20">
        <f t="shared" si="61"/>
        <v>0</v>
      </c>
      <c r="BJ74" s="20">
        <f t="shared" si="62"/>
        <v>0</v>
      </c>
      <c r="BK74" s="20" t="s">
        <v>238</v>
      </c>
      <c r="BL74" s="39" t="s">
        <v>106</v>
      </c>
    </row>
    <row r="75" spans="1:64" ht="12.75">
      <c r="A75" s="89" t="s">
        <v>304</v>
      </c>
      <c r="B75" s="12"/>
      <c r="C75" s="12" t="s">
        <v>111</v>
      </c>
      <c r="D75" s="12" t="s">
        <v>172</v>
      </c>
      <c r="E75" s="12" t="s">
        <v>186</v>
      </c>
      <c r="F75" s="20">
        <v>89.669</v>
      </c>
      <c r="G75" s="20"/>
      <c r="H75" s="20"/>
      <c r="I75" s="20"/>
      <c r="J75" s="20"/>
      <c r="K75" s="20">
        <v>0</v>
      </c>
      <c r="L75" s="20">
        <f t="shared" si="42"/>
        <v>0</v>
      </c>
      <c r="M75" s="33" t="s">
        <v>205</v>
      </c>
      <c r="N75" s="37"/>
      <c r="Z75" s="39">
        <f t="shared" si="43"/>
        <v>0</v>
      </c>
      <c r="AB75" s="39">
        <f t="shared" si="44"/>
        <v>0</v>
      </c>
      <c r="AC75" s="39">
        <f t="shared" si="45"/>
        <v>0</v>
      </c>
      <c r="AD75" s="39">
        <f t="shared" si="46"/>
        <v>0</v>
      </c>
      <c r="AE75" s="39">
        <f t="shared" si="47"/>
        <v>0</v>
      </c>
      <c r="AF75" s="39">
        <f t="shared" si="48"/>
        <v>0</v>
      </c>
      <c r="AG75" s="39">
        <f t="shared" si="49"/>
        <v>0</v>
      </c>
      <c r="AH75" s="39">
        <f t="shared" si="50"/>
        <v>0</v>
      </c>
      <c r="AI75" s="29"/>
      <c r="AJ75" s="20">
        <f t="shared" si="51"/>
        <v>0</v>
      </c>
      <c r="AK75" s="20">
        <f t="shared" si="52"/>
        <v>0</v>
      </c>
      <c r="AL75" s="20">
        <f t="shared" si="53"/>
        <v>0</v>
      </c>
      <c r="AN75" s="39">
        <v>15</v>
      </c>
      <c r="AO75" s="39">
        <f>G75*0</f>
        <v>0</v>
      </c>
      <c r="AP75" s="39">
        <f>G75*(1-0)</f>
        <v>0</v>
      </c>
      <c r="AQ75" s="40" t="s">
        <v>11</v>
      </c>
      <c r="AV75" s="39">
        <f t="shared" si="54"/>
        <v>0</v>
      </c>
      <c r="AW75" s="39">
        <f t="shared" si="55"/>
        <v>0</v>
      </c>
      <c r="AX75" s="39">
        <f t="shared" si="56"/>
        <v>0</v>
      </c>
      <c r="AY75" s="42" t="s">
        <v>227</v>
      </c>
      <c r="AZ75" s="42" t="s">
        <v>232</v>
      </c>
      <c r="BA75" s="29" t="s">
        <v>233</v>
      </c>
      <c r="BC75" s="39">
        <f t="shared" si="57"/>
        <v>0</v>
      </c>
      <c r="BD75" s="39">
        <f t="shared" si="58"/>
        <v>0</v>
      </c>
      <c r="BE75" s="39">
        <v>0</v>
      </c>
      <c r="BF75" s="39">
        <f t="shared" si="59"/>
        <v>0</v>
      </c>
      <c r="BH75" s="20">
        <f t="shared" si="60"/>
        <v>0</v>
      </c>
      <c r="BI75" s="20">
        <f t="shared" si="61"/>
        <v>0</v>
      </c>
      <c r="BJ75" s="20">
        <f t="shared" si="62"/>
        <v>0</v>
      </c>
      <c r="BK75" s="20" t="s">
        <v>238</v>
      </c>
      <c r="BL75" s="39" t="s">
        <v>106</v>
      </c>
    </row>
    <row r="76" spans="1:64" ht="12.75">
      <c r="A76" s="91" t="s">
        <v>305</v>
      </c>
      <c r="B76" s="15"/>
      <c r="C76" s="15" t="s">
        <v>112</v>
      </c>
      <c r="D76" s="15" t="s">
        <v>173</v>
      </c>
      <c r="E76" s="15" t="s">
        <v>186</v>
      </c>
      <c r="F76" s="22">
        <v>7.436</v>
      </c>
      <c r="G76" s="22"/>
      <c r="H76" s="22"/>
      <c r="I76" s="22"/>
      <c r="J76" s="22"/>
      <c r="K76" s="22">
        <v>0</v>
      </c>
      <c r="L76" s="22">
        <f t="shared" si="42"/>
        <v>0</v>
      </c>
      <c r="M76" s="36" t="s">
        <v>205</v>
      </c>
      <c r="N76" s="37"/>
      <c r="Z76" s="39">
        <f t="shared" si="43"/>
        <v>0</v>
      </c>
      <c r="AB76" s="39">
        <f t="shared" si="44"/>
        <v>0</v>
      </c>
      <c r="AC76" s="39">
        <f t="shared" si="45"/>
        <v>0</v>
      </c>
      <c r="AD76" s="39">
        <f t="shared" si="46"/>
        <v>0</v>
      </c>
      <c r="AE76" s="39">
        <f t="shared" si="47"/>
        <v>0</v>
      </c>
      <c r="AF76" s="39">
        <f t="shared" si="48"/>
        <v>0</v>
      </c>
      <c r="AG76" s="39">
        <f t="shared" si="49"/>
        <v>0</v>
      </c>
      <c r="AH76" s="39">
        <f t="shared" si="50"/>
        <v>0</v>
      </c>
      <c r="AI76" s="29"/>
      <c r="AJ76" s="20">
        <f t="shared" si="51"/>
        <v>0</v>
      </c>
      <c r="AK76" s="20">
        <f t="shared" si="52"/>
        <v>0</v>
      </c>
      <c r="AL76" s="20">
        <f t="shared" si="53"/>
        <v>0</v>
      </c>
      <c r="AN76" s="39">
        <v>15</v>
      </c>
      <c r="AO76" s="39">
        <f>G76*0</f>
        <v>0</v>
      </c>
      <c r="AP76" s="39">
        <f>G76*(1-0)</f>
        <v>0</v>
      </c>
      <c r="AQ76" s="40" t="s">
        <v>11</v>
      </c>
      <c r="AV76" s="39">
        <f t="shared" si="54"/>
        <v>0</v>
      </c>
      <c r="AW76" s="39">
        <f t="shared" si="55"/>
        <v>0</v>
      </c>
      <c r="AX76" s="39">
        <f t="shared" si="56"/>
        <v>0</v>
      </c>
      <c r="AY76" s="42" t="s">
        <v>227</v>
      </c>
      <c r="AZ76" s="42" t="s">
        <v>232</v>
      </c>
      <c r="BA76" s="29" t="s">
        <v>233</v>
      </c>
      <c r="BC76" s="39">
        <f t="shared" si="57"/>
        <v>0</v>
      </c>
      <c r="BD76" s="39">
        <f t="shared" si="58"/>
        <v>0</v>
      </c>
      <c r="BE76" s="39">
        <v>0</v>
      </c>
      <c r="BF76" s="39">
        <f t="shared" si="59"/>
        <v>0</v>
      </c>
      <c r="BH76" s="20">
        <f t="shared" si="60"/>
        <v>0</v>
      </c>
      <c r="BI76" s="20">
        <f t="shared" si="61"/>
        <v>0</v>
      </c>
      <c r="BJ76" s="20">
        <f t="shared" si="62"/>
        <v>0</v>
      </c>
      <c r="BK76" s="20" t="s">
        <v>238</v>
      </c>
      <c r="BL76" s="39" t="s">
        <v>106</v>
      </c>
    </row>
    <row r="77" spans="1:13" ht="12.75">
      <c r="A77" s="7"/>
      <c r="B77" s="7"/>
      <c r="C77" s="7"/>
      <c r="D77" s="7"/>
      <c r="E77" s="7"/>
      <c r="F77" s="7"/>
      <c r="G77" s="7"/>
      <c r="H77" s="102" t="s">
        <v>197</v>
      </c>
      <c r="I77" s="103"/>
      <c r="J77" s="46"/>
      <c r="K77" s="7"/>
      <c r="L77" s="7"/>
      <c r="M77" s="7"/>
    </row>
    <row r="78" ht="11.25" customHeight="1">
      <c r="A78" s="8" t="s">
        <v>55</v>
      </c>
    </row>
    <row r="79" spans="1:13" ht="12.75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</sheetData>
  <sheetProtection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H10:J10"/>
    <mergeCell ref="K10:L10"/>
    <mergeCell ref="H77:I77"/>
    <mergeCell ref="A79:M79"/>
    <mergeCell ref="A8:C9"/>
    <mergeCell ref="D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6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C61" sqref="C61:G61"/>
    </sheetView>
  </sheetViews>
  <sheetFormatPr defaultColWidth="11.57421875" defaultRowHeight="12.75"/>
  <cols>
    <col min="1" max="1" width="3.7109375" style="0" customWidth="1"/>
    <col min="2" max="2" width="15.00390625" style="0" customWidth="1"/>
    <col min="3" max="3" width="71.421875" style="0" customWidth="1"/>
    <col min="4" max="7" width="12.140625" style="0" customWidth="1"/>
    <col min="8" max="8" width="4.28125" style="0" customWidth="1"/>
    <col min="9" max="9" width="12.8515625" style="0" customWidth="1"/>
    <col min="10" max="11" width="20.7109375" style="0" customWidth="1"/>
    <col min="12" max="229" width="11.57421875" style="0" customWidth="1"/>
    <col min="230" max="231" width="12.140625" style="0" hidden="1" customWidth="1"/>
    <col min="232" max="250" width="11.57421875" style="0" customWidth="1"/>
    <col min="251" max="254" width="12.140625" style="0" hidden="1" customWidth="1"/>
  </cols>
  <sheetData>
    <row r="1" spans="1:11" ht="72.7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ht="12.75">
      <c r="A2" s="115" t="s">
        <v>1</v>
      </c>
      <c r="B2" s="116"/>
      <c r="C2" s="117" t="str">
        <f>'Stavební rozpočet'!D2</f>
        <v>Bezbariérové a bezpečné propojení obce pro pěší</v>
      </c>
      <c r="D2" s="119" t="s">
        <v>174</v>
      </c>
      <c r="E2" s="116"/>
      <c r="F2" s="120" t="str">
        <f>'Stavební rozpočet'!G2</f>
        <v> </v>
      </c>
      <c r="G2" s="120" t="s">
        <v>191</v>
      </c>
      <c r="H2" s="120" t="str">
        <f>'Stavební rozpočet'!I2</f>
        <v>obec Cebiv</v>
      </c>
      <c r="I2" s="116"/>
      <c r="J2" s="116"/>
      <c r="K2" s="121"/>
      <c r="L2" s="37"/>
    </row>
    <row r="3" spans="1:12" ht="12.75">
      <c r="A3" s="112"/>
      <c r="B3" s="105"/>
      <c r="C3" s="118"/>
      <c r="D3" s="105"/>
      <c r="E3" s="105"/>
      <c r="F3" s="105"/>
      <c r="G3" s="105"/>
      <c r="H3" s="105"/>
      <c r="I3" s="105"/>
      <c r="J3" s="105"/>
      <c r="K3" s="110"/>
      <c r="L3" s="37"/>
    </row>
    <row r="4" spans="1:12" ht="12.75">
      <c r="A4" s="106" t="s">
        <v>2</v>
      </c>
      <c r="B4" s="105"/>
      <c r="C4" s="104" t="str">
        <f>'Stavební rozpočet'!D4</f>
        <v>dopravní a technická infrastruktura</v>
      </c>
      <c r="D4" s="109" t="s">
        <v>175</v>
      </c>
      <c r="E4" s="105"/>
      <c r="F4" s="104" t="str">
        <f>'Stavební rozpočet'!G4</f>
        <v>10.03.2021</v>
      </c>
      <c r="G4" s="104" t="s">
        <v>192</v>
      </c>
      <c r="H4" s="104" t="str">
        <f>'Stavební rozpočet'!I4</f>
        <v>Ing.Kinkal Antonín</v>
      </c>
      <c r="I4" s="105"/>
      <c r="J4" s="105"/>
      <c r="K4" s="110"/>
      <c r="L4" s="37"/>
    </row>
    <row r="5" spans="1:12" ht="12.75">
      <c r="A5" s="112"/>
      <c r="B5" s="105"/>
      <c r="C5" s="105"/>
      <c r="D5" s="105"/>
      <c r="E5" s="105"/>
      <c r="F5" s="105"/>
      <c r="G5" s="105"/>
      <c r="H5" s="105"/>
      <c r="I5" s="105"/>
      <c r="J5" s="105"/>
      <c r="K5" s="110"/>
      <c r="L5" s="37"/>
    </row>
    <row r="6" spans="1:12" ht="12.75">
      <c r="A6" s="106" t="s">
        <v>3</v>
      </c>
      <c r="B6" s="105"/>
      <c r="C6" s="104" t="str">
        <f>'Stavební rozpočet'!D6</f>
        <v>obec Cebiv</v>
      </c>
      <c r="D6" s="109" t="s">
        <v>176</v>
      </c>
      <c r="E6" s="105"/>
      <c r="F6" s="104" t="str">
        <f>'Stavební rozpočet'!G6</f>
        <v> </v>
      </c>
      <c r="G6" s="104" t="s">
        <v>193</v>
      </c>
      <c r="H6" s="104" t="str">
        <f>'Stavební rozpočet'!I6</f>
        <v> </v>
      </c>
      <c r="I6" s="105"/>
      <c r="J6" s="105"/>
      <c r="K6" s="110"/>
      <c r="L6" s="37"/>
    </row>
    <row r="7" spans="1:12" ht="12.75">
      <c r="A7" s="112"/>
      <c r="B7" s="105"/>
      <c r="C7" s="105"/>
      <c r="D7" s="105"/>
      <c r="E7" s="105"/>
      <c r="F7" s="105"/>
      <c r="G7" s="105"/>
      <c r="H7" s="105"/>
      <c r="I7" s="105"/>
      <c r="J7" s="105"/>
      <c r="K7" s="110"/>
      <c r="L7" s="37"/>
    </row>
    <row r="8" spans="1:12" ht="12.75">
      <c r="A8" s="106" t="s">
        <v>4</v>
      </c>
      <c r="B8" s="105"/>
      <c r="C8" s="104" t="str">
        <f>'Stavební rozpočet'!D8</f>
        <v> </v>
      </c>
      <c r="D8" s="109" t="s">
        <v>177</v>
      </c>
      <c r="E8" s="105"/>
      <c r="F8" s="104" t="str">
        <f>'Stavební rozpočet'!G8</f>
        <v>10.03.2021</v>
      </c>
      <c r="G8" s="104" t="s">
        <v>194</v>
      </c>
      <c r="H8" s="104" t="str">
        <f>'Stavební rozpočet'!I8</f>
        <v>p.Kubešová</v>
      </c>
      <c r="I8" s="105"/>
      <c r="J8" s="105"/>
      <c r="K8" s="110"/>
      <c r="L8" s="37"/>
    </row>
    <row r="9" spans="1:12" ht="12.75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9"/>
      <c r="L9" s="37"/>
    </row>
    <row r="10" spans="1:231" ht="12.75">
      <c r="A10" s="47" t="s">
        <v>5</v>
      </c>
      <c r="B10" s="47" t="s">
        <v>57</v>
      </c>
      <c r="C10" s="134" t="s">
        <v>113</v>
      </c>
      <c r="D10" s="134"/>
      <c r="E10" s="134"/>
      <c r="F10" s="134"/>
      <c r="G10" s="134"/>
      <c r="H10" s="47" t="s">
        <v>178</v>
      </c>
      <c r="I10" s="47" t="s">
        <v>187</v>
      </c>
      <c r="J10" s="47" t="s">
        <v>241</v>
      </c>
      <c r="K10" s="55" t="s">
        <v>242</v>
      </c>
      <c r="L10" s="37"/>
      <c r="HV10" s="56" t="s">
        <v>240</v>
      </c>
      <c r="HW10" s="56" t="s">
        <v>237</v>
      </c>
    </row>
    <row r="11" spans="1:12" ht="12.75">
      <c r="A11" s="48" t="s">
        <v>6</v>
      </c>
      <c r="B11" s="50" t="s">
        <v>58</v>
      </c>
      <c r="C11" s="135" t="s">
        <v>115</v>
      </c>
      <c r="D11" s="136"/>
      <c r="E11" s="136"/>
      <c r="F11" s="136"/>
      <c r="G11" s="136"/>
      <c r="H11" s="50" t="s">
        <v>6</v>
      </c>
      <c r="I11" s="52" t="s">
        <v>6</v>
      </c>
      <c r="J11" s="52" t="s">
        <v>6</v>
      </c>
      <c r="K11" s="57"/>
      <c r="L11" s="37"/>
    </row>
    <row r="12" spans="1:253" ht="12.75">
      <c r="A12" s="4" t="s">
        <v>7</v>
      </c>
      <c r="B12" s="12" t="s">
        <v>59</v>
      </c>
      <c r="C12" s="130" t="s">
        <v>116</v>
      </c>
      <c r="D12" s="131"/>
      <c r="E12" s="131"/>
      <c r="F12" s="131"/>
      <c r="G12" s="131"/>
      <c r="H12" s="12" t="s">
        <v>179</v>
      </c>
      <c r="I12" s="20">
        <f>'Stavební rozpočet'!F13</f>
        <v>1</v>
      </c>
      <c r="J12" s="20"/>
      <c r="K12" s="58"/>
      <c r="L12" s="37"/>
      <c r="HV12" s="12" t="s">
        <v>58</v>
      </c>
      <c r="HW12" s="12" t="s">
        <v>238</v>
      </c>
      <c r="IR12" s="64">
        <f>J12*0</f>
        <v>0</v>
      </c>
      <c r="IS12" s="64">
        <f>J12*(1-0)</f>
        <v>0</v>
      </c>
    </row>
    <row r="13" spans="1:253" ht="12.75">
      <c r="A13" s="4" t="s">
        <v>8</v>
      </c>
      <c r="B13" s="12" t="s">
        <v>60</v>
      </c>
      <c r="C13" s="130" t="s">
        <v>117</v>
      </c>
      <c r="D13" s="131"/>
      <c r="E13" s="131"/>
      <c r="F13" s="131"/>
      <c r="G13" s="131"/>
      <c r="H13" s="12" t="s">
        <v>179</v>
      </c>
      <c r="I13" s="20">
        <f>'Stavební rozpočet'!F14</f>
        <v>1</v>
      </c>
      <c r="J13" s="20"/>
      <c r="K13" s="58"/>
      <c r="L13" s="37"/>
      <c r="HV13" s="12" t="s">
        <v>58</v>
      </c>
      <c r="HW13" s="12" t="s">
        <v>238</v>
      </c>
      <c r="IR13" s="64">
        <f>J13*0</f>
        <v>0</v>
      </c>
      <c r="IS13" s="64">
        <f>J13*(1-0)</f>
        <v>0</v>
      </c>
    </row>
    <row r="14" spans="1:253" ht="12.75">
      <c r="A14" s="4" t="s">
        <v>9</v>
      </c>
      <c r="B14" s="12" t="s">
        <v>61</v>
      </c>
      <c r="C14" s="130" t="s">
        <v>118</v>
      </c>
      <c r="D14" s="131"/>
      <c r="E14" s="131"/>
      <c r="F14" s="131"/>
      <c r="G14" s="131"/>
      <c r="H14" s="12" t="s">
        <v>179</v>
      </c>
      <c r="I14" s="20">
        <f>'Stavební rozpočet'!F15</f>
        <v>1</v>
      </c>
      <c r="J14" s="20"/>
      <c r="K14" s="58"/>
      <c r="L14" s="37"/>
      <c r="HV14" s="12" t="s">
        <v>58</v>
      </c>
      <c r="HW14" s="12" t="s">
        <v>238</v>
      </c>
      <c r="IR14" s="64">
        <f>J14*0</f>
        <v>0</v>
      </c>
      <c r="IS14" s="64">
        <f>J14*(1-0)</f>
        <v>0</v>
      </c>
    </row>
    <row r="15" spans="1:12" ht="12.75">
      <c r="A15" s="49" t="s">
        <v>6</v>
      </c>
      <c r="B15" s="51" t="s">
        <v>17</v>
      </c>
      <c r="C15" s="132" t="s">
        <v>119</v>
      </c>
      <c r="D15" s="133"/>
      <c r="E15" s="133"/>
      <c r="F15" s="133"/>
      <c r="G15" s="133"/>
      <c r="H15" s="51" t="s">
        <v>6</v>
      </c>
      <c r="I15" s="53" t="s">
        <v>6</v>
      </c>
      <c r="J15" s="53"/>
      <c r="K15" s="59"/>
      <c r="L15" s="37"/>
    </row>
    <row r="16" spans="1:253" ht="12.75">
      <c r="A16" s="4" t="s">
        <v>10</v>
      </c>
      <c r="B16" s="12" t="s">
        <v>62</v>
      </c>
      <c r="C16" s="130" t="s">
        <v>120</v>
      </c>
      <c r="D16" s="131"/>
      <c r="E16" s="131"/>
      <c r="F16" s="131"/>
      <c r="G16" s="131"/>
      <c r="H16" s="12" t="s">
        <v>180</v>
      </c>
      <c r="I16" s="20">
        <f>'Stavební rozpočet'!F17</f>
        <v>234</v>
      </c>
      <c r="J16" s="20"/>
      <c r="K16" s="58"/>
      <c r="L16" s="37"/>
      <c r="HV16" s="12" t="s">
        <v>17</v>
      </c>
      <c r="HW16" s="12" t="s">
        <v>238</v>
      </c>
      <c r="IR16" s="64">
        <f>J16*0</f>
        <v>0</v>
      </c>
      <c r="IS16" s="64">
        <f>J16*(1-0)</f>
        <v>0</v>
      </c>
    </row>
    <row r="17" spans="1:253" ht="12.75">
      <c r="A17" s="4" t="s">
        <v>11</v>
      </c>
      <c r="B17" s="12" t="s">
        <v>63</v>
      </c>
      <c r="C17" s="130" t="s">
        <v>121</v>
      </c>
      <c r="D17" s="131"/>
      <c r="E17" s="131"/>
      <c r="F17" s="131"/>
      <c r="G17" s="131"/>
      <c r="H17" s="12" t="s">
        <v>180</v>
      </c>
      <c r="I17" s="20">
        <f>'Stavební rozpočet'!F18</f>
        <v>9.52</v>
      </c>
      <c r="J17" s="20"/>
      <c r="K17" s="58"/>
      <c r="L17" s="37"/>
      <c r="HV17" s="12" t="s">
        <v>17</v>
      </c>
      <c r="HW17" s="12" t="s">
        <v>238</v>
      </c>
      <c r="IR17" s="64">
        <f>J17*0</f>
        <v>0</v>
      </c>
      <c r="IS17" s="64">
        <f>J17*(1-0)</f>
        <v>0</v>
      </c>
    </row>
    <row r="18" spans="1:253" ht="12.75">
      <c r="A18" s="4" t="s">
        <v>12</v>
      </c>
      <c r="B18" s="12" t="s">
        <v>64</v>
      </c>
      <c r="C18" s="130" t="s">
        <v>122</v>
      </c>
      <c r="D18" s="131"/>
      <c r="E18" s="131"/>
      <c r="F18" s="131"/>
      <c r="G18" s="131"/>
      <c r="H18" s="12" t="s">
        <v>180</v>
      </c>
      <c r="I18" s="20">
        <f>'Stavební rozpočet'!F19</f>
        <v>60.6</v>
      </c>
      <c r="J18" s="20"/>
      <c r="K18" s="58"/>
      <c r="L18" s="37"/>
      <c r="HV18" s="12" t="s">
        <v>17</v>
      </c>
      <c r="HW18" s="12" t="s">
        <v>238</v>
      </c>
      <c r="IR18" s="64">
        <f>J18*0</f>
        <v>0</v>
      </c>
      <c r="IS18" s="64">
        <f>J18*(1-0)</f>
        <v>0</v>
      </c>
    </row>
    <row r="19" spans="1:253" ht="12.75">
      <c r="A19" s="4" t="s">
        <v>13</v>
      </c>
      <c r="B19" s="12" t="s">
        <v>65</v>
      </c>
      <c r="C19" s="130" t="s">
        <v>123</v>
      </c>
      <c r="D19" s="131"/>
      <c r="E19" s="131"/>
      <c r="F19" s="131"/>
      <c r="G19" s="131"/>
      <c r="H19" s="12" t="s">
        <v>180</v>
      </c>
      <c r="I19" s="20">
        <f>'Stavební rozpočet'!F20</f>
        <v>121.35</v>
      </c>
      <c r="J19" s="20"/>
      <c r="K19" s="58"/>
      <c r="L19" s="37"/>
      <c r="HV19" s="12" t="s">
        <v>17</v>
      </c>
      <c r="HW19" s="12" t="s">
        <v>238</v>
      </c>
      <c r="IR19" s="64">
        <f>J19*0</f>
        <v>0</v>
      </c>
      <c r="IS19" s="64">
        <f>J19*(1-0)</f>
        <v>0</v>
      </c>
    </row>
    <row r="20" spans="1:12" ht="12.75">
      <c r="A20" s="49" t="s">
        <v>6</v>
      </c>
      <c r="B20" s="51" t="s">
        <v>18</v>
      </c>
      <c r="C20" s="132" t="s">
        <v>124</v>
      </c>
      <c r="D20" s="133"/>
      <c r="E20" s="133"/>
      <c r="F20" s="133"/>
      <c r="G20" s="133"/>
      <c r="H20" s="51" t="s">
        <v>6</v>
      </c>
      <c r="I20" s="53" t="s">
        <v>6</v>
      </c>
      <c r="J20" s="53" t="s">
        <v>6</v>
      </c>
      <c r="K20" s="59"/>
      <c r="L20" s="37"/>
    </row>
    <row r="21" spans="1:253" ht="12.75">
      <c r="A21" s="4" t="s">
        <v>14</v>
      </c>
      <c r="B21" s="92" t="s">
        <v>66</v>
      </c>
      <c r="C21" s="122" t="s">
        <v>125</v>
      </c>
      <c r="D21" s="122"/>
      <c r="E21" s="122"/>
      <c r="F21" s="122"/>
      <c r="G21" s="122"/>
      <c r="H21" s="12" t="s">
        <v>181</v>
      </c>
      <c r="I21" s="20">
        <v>20</v>
      </c>
      <c r="J21" s="20"/>
      <c r="K21" s="58"/>
      <c r="L21" s="37"/>
      <c r="HV21" s="12" t="s">
        <v>18</v>
      </c>
      <c r="HW21" s="12" t="s">
        <v>238</v>
      </c>
      <c r="IR21" s="64">
        <f>J21*0</f>
        <v>0</v>
      </c>
      <c r="IS21" s="64">
        <f>J21*(1-0)</f>
        <v>0</v>
      </c>
    </row>
    <row r="22" spans="1:253" ht="12.75">
      <c r="A22" s="4" t="s">
        <v>15</v>
      </c>
      <c r="B22" s="93" t="s">
        <v>287</v>
      </c>
      <c r="C22" s="122" t="s">
        <v>288</v>
      </c>
      <c r="D22" s="122"/>
      <c r="E22" s="122"/>
      <c r="F22" s="122"/>
      <c r="G22" s="122"/>
      <c r="H22" s="12" t="s">
        <v>181</v>
      </c>
      <c r="I22" s="20">
        <v>48</v>
      </c>
      <c r="J22" s="20"/>
      <c r="K22" s="58"/>
      <c r="L22" s="37"/>
      <c r="HV22" s="12"/>
      <c r="HW22" s="12"/>
      <c r="IR22" s="64"/>
      <c r="IS22" s="64"/>
    </row>
    <row r="23" spans="1:253" ht="12.75">
      <c r="A23" s="4" t="s">
        <v>16</v>
      </c>
      <c r="B23" s="92" t="s">
        <v>67</v>
      </c>
      <c r="C23" s="122" t="s">
        <v>126</v>
      </c>
      <c r="D23" s="122"/>
      <c r="E23" s="122"/>
      <c r="F23" s="122"/>
      <c r="G23" s="122"/>
      <c r="H23" s="12" t="s">
        <v>181</v>
      </c>
      <c r="I23" s="20">
        <v>181.25</v>
      </c>
      <c r="J23" s="20"/>
      <c r="K23" s="58"/>
      <c r="L23" s="37"/>
      <c r="HV23" s="12"/>
      <c r="HW23" s="12"/>
      <c r="IR23" s="64"/>
      <c r="IS23" s="64"/>
    </row>
    <row r="24" spans="1:253" ht="12.75">
      <c r="A24" s="4" t="s">
        <v>17</v>
      </c>
      <c r="B24" s="94" t="s">
        <v>290</v>
      </c>
      <c r="C24" s="122" t="s">
        <v>306</v>
      </c>
      <c r="D24" s="122"/>
      <c r="E24" s="122"/>
      <c r="F24" s="122"/>
      <c r="G24" s="122"/>
      <c r="H24" s="12" t="s">
        <v>186</v>
      </c>
      <c r="I24">
        <v>412.65</v>
      </c>
      <c r="K24" s="58"/>
      <c r="L24" s="37"/>
      <c r="HV24" s="12" t="s">
        <v>18</v>
      </c>
      <c r="HW24" s="12" t="s">
        <v>238</v>
      </c>
      <c r="IR24" s="64">
        <f>J24*0</f>
        <v>0</v>
      </c>
      <c r="IS24" s="64">
        <f>J24*(1-0)</f>
        <v>0</v>
      </c>
    </row>
    <row r="25" spans="1:12" ht="12.75">
      <c r="A25" s="49" t="s">
        <v>6</v>
      </c>
      <c r="B25" s="95" t="s">
        <v>22</v>
      </c>
      <c r="C25" s="124" t="s">
        <v>127</v>
      </c>
      <c r="D25" s="125"/>
      <c r="E25" s="125"/>
      <c r="F25" s="125"/>
      <c r="G25" s="125"/>
      <c r="H25" s="51" t="s">
        <v>6</v>
      </c>
      <c r="I25" s="53" t="s">
        <v>6</v>
      </c>
      <c r="J25" s="53" t="s">
        <v>6</v>
      </c>
      <c r="K25" s="59"/>
      <c r="L25" s="37"/>
    </row>
    <row r="26" spans="1:253" ht="12.75">
      <c r="A26" s="4" t="s">
        <v>18</v>
      </c>
      <c r="B26" s="92" t="s">
        <v>68</v>
      </c>
      <c r="C26" s="122" t="s">
        <v>128</v>
      </c>
      <c r="D26" s="123"/>
      <c r="E26" s="123"/>
      <c r="F26" s="123"/>
      <c r="G26" s="123"/>
      <c r="H26" s="12" t="s">
        <v>181</v>
      </c>
      <c r="I26" s="20">
        <f>'Stavební rozpočet'!F27</f>
        <v>229.5</v>
      </c>
      <c r="J26" s="20"/>
      <c r="K26" s="58"/>
      <c r="L26" s="37"/>
      <c r="HV26" s="12" t="s">
        <v>22</v>
      </c>
      <c r="HW26" s="12" t="s">
        <v>238</v>
      </c>
      <c r="IR26" s="64">
        <f>J26*0</f>
        <v>0</v>
      </c>
      <c r="IS26" s="64">
        <f>J26*(1-0)</f>
        <v>0</v>
      </c>
    </row>
    <row r="27" spans="1:253" ht="12.75">
      <c r="A27" s="4" t="s">
        <v>19</v>
      </c>
      <c r="B27" s="92" t="s">
        <v>69</v>
      </c>
      <c r="C27" s="122" t="s">
        <v>129</v>
      </c>
      <c r="D27" s="123"/>
      <c r="E27" s="123"/>
      <c r="F27" s="123"/>
      <c r="G27" s="123"/>
      <c r="H27" s="12" t="s">
        <v>181</v>
      </c>
      <c r="I27" s="20">
        <f>'Stavební rozpočet'!F28</f>
        <v>229.5</v>
      </c>
      <c r="J27" s="20"/>
      <c r="K27" s="58"/>
      <c r="L27" s="37"/>
      <c r="HV27" s="12" t="s">
        <v>22</v>
      </c>
      <c r="HW27" s="12" t="s">
        <v>238</v>
      </c>
      <c r="IR27" s="64">
        <f>J27*0</f>
        <v>0</v>
      </c>
      <c r="IS27" s="64">
        <f>J27*(1-0)</f>
        <v>0</v>
      </c>
    </row>
    <row r="28" spans="1:253" ht="12.75">
      <c r="A28" s="4" t="s">
        <v>20</v>
      </c>
      <c r="B28" s="92" t="s">
        <v>70</v>
      </c>
      <c r="C28" s="122" t="s">
        <v>130</v>
      </c>
      <c r="D28" s="123"/>
      <c r="E28" s="123"/>
      <c r="F28" s="123"/>
      <c r="G28" s="123"/>
      <c r="H28" s="12" t="s">
        <v>181</v>
      </c>
      <c r="I28" s="20">
        <f>'Stavební rozpočet'!F29</f>
        <v>688.5</v>
      </c>
      <c r="J28" s="20"/>
      <c r="K28" s="58"/>
      <c r="L28" s="37"/>
      <c r="HV28" s="12" t="s">
        <v>22</v>
      </c>
      <c r="HW28" s="12" t="s">
        <v>238</v>
      </c>
      <c r="IR28" s="64">
        <f>J28*0</f>
        <v>0</v>
      </c>
      <c r="IS28" s="64">
        <f>J28*(1-0)</f>
        <v>0</v>
      </c>
    </row>
    <row r="29" spans="1:12" ht="12.75">
      <c r="A29" s="49" t="s">
        <v>6</v>
      </c>
      <c r="B29" s="95" t="s">
        <v>27</v>
      </c>
      <c r="C29" s="124" t="s">
        <v>131</v>
      </c>
      <c r="D29" s="125"/>
      <c r="E29" s="125"/>
      <c r="F29" s="125"/>
      <c r="G29" s="125"/>
      <c r="H29" s="51" t="s">
        <v>6</v>
      </c>
      <c r="I29" s="53" t="s">
        <v>6</v>
      </c>
      <c r="J29" s="53"/>
      <c r="K29" s="59"/>
      <c r="L29" s="37"/>
    </row>
    <row r="30" spans="1:253" ht="12.75">
      <c r="A30" s="4" t="s">
        <v>21</v>
      </c>
      <c r="B30" s="92" t="s">
        <v>71</v>
      </c>
      <c r="C30" s="122" t="s">
        <v>132</v>
      </c>
      <c r="D30" s="123"/>
      <c r="E30" s="123"/>
      <c r="F30" s="123"/>
      <c r="G30" s="123"/>
      <c r="H30" s="12" t="s">
        <v>182</v>
      </c>
      <c r="I30" s="20">
        <f>'Stavební rozpočet'!F31</f>
        <v>1</v>
      </c>
      <c r="J30" s="20"/>
      <c r="K30" s="58"/>
      <c r="L30" s="37"/>
      <c r="HV30" s="12" t="s">
        <v>27</v>
      </c>
      <c r="HW30" s="12" t="s">
        <v>238</v>
      </c>
      <c r="IR30" s="64">
        <f>J30*0.821548024738104</f>
        <v>0</v>
      </c>
      <c r="IS30" s="64">
        <f>J30*(1-0.821548024738104)</f>
        <v>0</v>
      </c>
    </row>
    <row r="31" spans="1:12" ht="12.75">
      <c r="A31" s="49" t="s">
        <v>6</v>
      </c>
      <c r="B31" s="95" t="s">
        <v>72</v>
      </c>
      <c r="C31" s="124" t="s">
        <v>133</v>
      </c>
      <c r="D31" s="125"/>
      <c r="E31" s="125"/>
      <c r="F31" s="125"/>
      <c r="G31" s="125"/>
      <c r="H31" s="51" t="s">
        <v>6</v>
      </c>
      <c r="I31" s="53" t="s">
        <v>6</v>
      </c>
      <c r="J31" s="53"/>
      <c r="K31" s="59"/>
      <c r="L31" s="37"/>
    </row>
    <row r="32" spans="1:253" ht="12.75">
      <c r="A32" s="4" t="s">
        <v>22</v>
      </c>
      <c r="B32" s="92" t="s">
        <v>73</v>
      </c>
      <c r="C32" s="122" t="s">
        <v>134</v>
      </c>
      <c r="D32" s="123"/>
      <c r="E32" s="123"/>
      <c r="F32" s="123"/>
      <c r="G32" s="123"/>
      <c r="H32" s="12" t="s">
        <v>180</v>
      </c>
      <c r="I32" s="20">
        <f>'Stavební rozpočet'!F33</f>
        <v>972.7</v>
      </c>
      <c r="J32" s="20"/>
      <c r="K32" s="58"/>
      <c r="L32" s="37"/>
      <c r="HV32" s="12" t="s">
        <v>72</v>
      </c>
      <c r="HW32" s="12" t="s">
        <v>238</v>
      </c>
      <c r="IR32" s="64">
        <f>J32*0.863567352494634</f>
        <v>0</v>
      </c>
      <c r="IS32" s="64">
        <f>J32*(1-0.863567352494634)</f>
        <v>0</v>
      </c>
    </row>
    <row r="33" spans="1:253" ht="12.75">
      <c r="A33" s="4" t="s">
        <v>23</v>
      </c>
      <c r="B33" s="92" t="s">
        <v>74</v>
      </c>
      <c r="C33" s="122" t="s">
        <v>135</v>
      </c>
      <c r="D33" s="123"/>
      <c r="E33" s="123"/>
      <c r="F33" s="123"/>
      <c r="G33" s="123"/>
      <c r="H33" s="12" t="s">
        <v>180</v>
      </c>
      <c r="I33" s="20">
        <f>'Stavební rozpočet'!F34</f>
        <v>78</v>
      </c>
      <c r="J33" s="20"/>
      <c r="K33" s="58"/>
      <c r="L33" s="37"/>
      <c r="HV33" s="12" t="s">
        <v>72</v>
      </c>
      <c r="HW33" s="12" t="s">
        <v>238</v>
      </c>
      <c r="IR33" s="64">
        <f>J33*0.883475585186271</f>
        <v>0</v>
      </c>
      <c r="IS33" s="64">
        <f>J33*(1-0.883475585186271)</f>
        <v>0</v>
      </c>
    </row>
    <row r="34" spans="1:253" ht="12.75">
      <c r="A34" s="4" t="s">
        <v>24</v>
      </c>
      <c r="B34" s="92" t="s">
        <v>75</v>
      </c>
      <c r="C34" s="122" t="s">
        <v>136</v>
      </c>
      <c r="D34" s="123"/>
      <c r="E34" s="123"/>
      <c r="F34" s="123"/>
      <c r="G34" s="123"/>
      <c r="H34" s="12" t="s">
        <v>180</v>
      </c>
      <c r="I34" s="20">
        <f>'Stavební rozpočet'!F35</f>
        <v>121.35</v>
      </c>
      <c r="J34" s="20"/>
      <c r="K34" s="58"/>
      <c r="L34" s="37"/>
      <c r="HV34" s="12" t="s">
        <v>72</v>
      </c>
      <c r="HW34" s="12" t="s">
        <v>238</v>
      </c>
      <c r="IR34" s="64">
        <f>J34*0.799912568306011</f>
        <v>0</v>
      </c>
      <c r="IS34" s="64">
        <f>J34*(1-0.799912568306011)</f>
        <v>0</v>
      </c>
    </row>
    <row r="35" spans="1:12" ht="12.75">
      <c r="A35" s="49" t="s">
        <v>6</v>
      </c>
      <c r="B35" s="95" t="s">
        <v>76</v>
      </c>
      <c r="C35" s="124" t="s">
        <v>137</v>
      </c>
      <c r="D35" s="125"/>
      <c r="E35" s="125"/>
      <c r="F35" s="125"/>
      <c r="G35" s="125"/>
      <c r="H35" s="51" t="s">
        <v>6</v>
      </c>
      <c r="I35" s="53" t="s">
        <v>6</v>
      </c>
      <c r="J35" s="53"/>
      <c r="K35" s="59"/>
      <c r="L35" s="37"/>
    </row>
    <row r="36" spans="1:253" ht="12.75">
      <c r="A36" s="4" t="s">
        <v>25</v>
      </c>
      <c r="B36" s="92" t="s">
        <v>77</v>
      </c>
      <c r="C36" s="122" t="s">
        <v>138</v>
      </c>
      <c r="D36" s="123"/>
      <c r="E36" s="123"/>
      <c r="F36" s="123"/>
      <c r="G36" s="123"/>
      <c r="H36" s="12" t="s">
        <v>180</v>
      </c>
      <c r="I36" s="20">
        <f>'Stavební rozpočet'!F37</f>
        <v>121.35</v>
      </c>
      <c r="J36" s="20"/>
      <c r="K36" s="58"/>
      <c r="L36" s="37"/>
      <c r="HV36" s="12" t="s">
        <v>76</v>
      </c>
      <c r="HW36" s="12" t="s">
        <v>238</v>
      </c>
      <c r="IR36" s="64">
        <f>J36*0.748677248677249</f>
        <v>0</v>
      </c>
      <c r="IS36" s="64">
        <f>J36*(1-0.748677248677249)</f>
        <v>0</v>
      </c>
    </row>
    <row r="37" spans="1:12" ht="12.75">
      <c r="A37" s="49" t="s">
        <v>6</v>
      </c>
      <c r="B37" s="95" t="s">
        <v>78</v>
      </c>
      <c r="C37" s="124" t="s">
        <v>139</v>
      </c>
      <c r="D37" s="125"/>
      <c r="E37" s="125"/>
      <c r="F37" s="125"/>
      <c r="G37" s="125"/>
      <c r="H37" s="51" t="s">
        <v>6</v>
      </c>
      <c r="I37" s="53" t="s">
        <v>6</v>
      </c>
      <c r="J37" s="53" t="s">
        <v>6</v>
      </c>
      <c r="K37" s="59"/>
      <c r="L37" s="37"/>
    </row>
    <row r="38" spans="1:253" ht="12.75">
      <c r="A38" s="4" t="s">
        <v>26</v>
      </c>
      <c r="B38" s="92" t="s">
        <v>79</v>
      </c>
      <c r="C38" s="122" t="s">
        <v>140</v>
      </c>
      <c r="D38" s="123"/>
      <c r="E38" s="123"/>
      <c r="F38" s="123"/>
      <c r="G38" s="123"/>
      <c r="H38" s="12" t="s">
        <v>180</v>
      </c>
      <c r="I38" s="20">
        <f>'Stavební rozpočet'!F39</f>
        <v>685</v>
      </c>
      <c r="J38" s="20"/>
      <c r="K38" s="58"/>
      <c r="L38" s="37"/>
      <c r="HV38" s="12" t="s">
        <v>78</v>
      </c>
      <c r="HW38" s="12" t="s">
        <v>238</v>
      </c>
      <c r="IR38" s="64">
        <f>J38*0.153709981167608</f>
        <v>0</v>
      </c>
      <c r="IS38" s="64">
        <f>J38*(1-0.153709981167608)</f>
        <v>0</v>
      </c>
    </row>
    <row r="39" spans="1:253" ht="12.75">
      <c r="A39" s="6" t="s">
        <v>27</v>
      </c>
      <c r="B39" s="96" t="s">
        <v>80</v>
      </c>
      <c r="C39" s="128" t="s">
        <v>141</v>
      </c>
      <c r="D39" s="129"/>
      <c r="E39" s="129"/>
      <c r="F39" s="129"/>
      <c r="G39" s="129"/>
      <c r="H39" s="14" t="s">
        <v>180</v>
      </c>
      <c r="I39" s="21">
        <f>'Stavební rozpočet'!F40</f>
        <v>39</v>
      </c>
      <c r="J39" s="21"/>
      <c r="K39" s="60"/>
      <c r="L39" s="37"/>
      <c r="HV39" s="14" t="s">
        <v>78</v>
      </c>
      <c r="HW39" s="14" t="s">
        <v>239</v>
      </c>
      <c r="IR39" s="65">
        <f>J39*1</f>
        <v>0</v>
      </c>
      <c r="IS39" s="65">
        <f>J39*(1-1)</f>
        <v>0</v>
      </c>
    </row>
    <row r="40" spans="1:253" ht="12.75">
      <c r="A40" s="6" t="s">
        <v>28</v>
      </c>
      <c r="B40" s="96" t="s">
        <v>81</v>
      </c>
      <c r="C40" s="128" t="s">
        <v>142</v>
      </c>
      <c r="D40" s="129"/>
      <c r="E40" s="129"/>
      <c r="F40" s="129"/>
      <c r="G40" s="129"/>
      <c r="H40" s="14" t="s">
        <v>180</v>
      </c>
      <c r="I40" s="21">
        <f>'Stavební rozpočet'!F41</f>
        <v>654</v>
      </c>
      <c r="J40" s="21"/>
      <c r="K40" s="60"/>
      <c r="L40" s="37"/>
      <c r="HV40" s="14" t="s">
        <v>78</v>
      </c>
      <c r="HW40" s="14" t="s">
        <v>239</v>
      </c>
      <c r="IR40" s="65">
        <f>J40*1</f>
        <v>0</v>
      </c>
      <c r="IS40" s="65">
        <f>J40*(1-1)</f>
        <v>0</v>
      </c>
    </row>
    <row r="41" spans="1:253" ht="12.75">
      <c r="A41" s="4" t="s">
        <v>29</v>
      </c>
      <c r="B41" s="92" t="s">
        <v>82</v>
      </c>
      <c r="C41" s="122" t="s">
        <v>143</v>
      </c>
      <c r="D41" s="123"/>
      <c r="E41" s="123"/>
      <c r="F41" s="123"/>
      <c r="G41" s="123"/>
      <c r="H41" s="12" t="s">
        <v>180</v>
      </c>
      <c r="I41" s="20">
        <f>'Stavební rozpočet'!F42</f>
        <v>45</v>
      </c>
      <c r="J41" s="20"/>
      <c r="K41" s="58"/>
      <c r="L41" s="37"/>
      <c r="HV41" s="12" t="s">
        <v>78</v>
      </c>
      <c r="HW41" s="12" t="s">
        <v>238</v>
      </c>
      <c r="IR41" s="64">
        <f>J41*0.146010733452594</f>
        <v>0</v>
      </c>
      <c r="IS41" s="64">
        <f>J41*(1-0.146010733452594)</f>
        <v>0</v>
      </c>
    </row>
    <row r="42" spans="1:253" ht="12.75">
      <c r="A42" s="6" t="s">
        <v>30</v>
      </c>
      <c r="B42" s="96" t="s">
        <v>83</v>
      </c>
      <c r="C42" s="128" t="s">
        <v>144</v>
      </c>
      <c r="D42" s="129"/>
      <c r="E42" s="129"/>
      <c r="F42" s="129"/>
      <c r="G42" s="129"/>
      <c r="H42" s="14" t="s">
        <v>180</v>
      </c>
      <c r="I42" s="21">
        <f>'Stavební rozpočet'!F43</f>
        <v>46.35</v>
      </c>
      <c r="J42" s="21"/>
      <c r="K42" s="60"/>
      <c r="L42" s="37"/>
      <c r="HV42" s="14" t="s">
        <v>78</v>
      </c>
      <c r="HW42" s="14" t="s">
        <v>239</v>
      </c>
      <c r="IR42" s="65">
        <f>J42*1</f>
        <v>0</v>
      </c>
      <c r="IS42" s="65">
        <f>J42*(1-1)</f>
        <v>0</v>
      </c>
    </row>
    <row r="43" spans="1:253" ht="12.75">
      <c r="A43" s="4" t="s">
        <v>31</v>
      </c>
      <c r="B43" s="92" t="s">
        <v>84</v>
      </c>
      <c r="C43" s="122" t="s">
        <v>145</v>
      </c>
      <c r="D43" s="123"/>
      <c r="E43" s="123"/>
      <c r="F43" s="123"/>
      <c r="G43" s="123"/>
      <c r="H43" s="12" t="s">
        <v>183</v>
      </c>
      <c r="I43" s="20">
        <f>'Stavební rozpočet'!F44</f>
        <v>4</v>
      </c>
      <c r="J43" s="20"/>
      <c r="K43" s="58"/>
      <c r="L43" s="37"/>
      <c r="HV43" s="12" t="s">
        <v>78</v>
      </c>
      <c r="HW43" s="12" t="s">
        <v>238</v>
      </c>
      <c r="IR43" s="64">
        <f>J43*0.95568986083499</f>
        <v>0</v>
      </c>
      <c r="IS43" s="64">
        <f>J43*(1-0.95568986083499)</f>
        <v>0</v>
      </c>
    </row>
    <row r="44" spans="1:12" ht="12.75">
      <c r="A44" s="49" t="s">
        <v>6</v>
      </c>
      <c r="B44" s="95" t="s">
        <v>85</v>
      </c>
      <c r="C44" s="124" t="s">
        <v>146</v>
      </c>
      <c r="D44" s="125"/>
      <c r="E44" s="125"/>
      <c r="F44" s="125"/>
      <c r="G44" s="125"/>
      <c r="H44" s="51" t="s">
        <v>6</v>
      </c>
      <c r="I44" s="53" t="s">
        <v>6</v>
      </c>
      <c r="J44" s="53"/>
      <c r="K44" s="59"/>
      <c r="L44" s="37"/>
    </row>
    <row r="45" spans="1:253" ht="12.75">
      <c r="A45" s="4" t="s">
        <v>32</v>
      </c>
      <c r="B45" s="92" t="s">
        <v>86</v>
      </c>
      <c r="C45" s="122" t="s">
        <v>147</v>
      </c>
      <c r="D45" s="123"/>
      <c r="E45" s="123"/>
      <c r="F45" s="123"/>
      <c r="G45" s="123"/>
      <c r="H45" s="12" t="s">
        <v>183</v>
      </c>
      <c r="I45" s="20">
        <f>'Stavební rozpočet'!F46</f>
        <v>5</v>
      </c>
      <c r="J45" s="20"/>
      <c r="K45" s="58"/>
      <c r="L45" s="37"/>
      <c r="HV45" s="12" t="s">
        <v>85</v>
      </c>
      <c r="HW45" s="12" t="s">
        <v>238</v>
      </c>
      <c r="IR45" s="64">
        <f>J45*0.761220046082949</f>
        <v>0</v>
      </c>
      <c r="IS45" s="64">
        <f>J45*(1-0.761220046082949)</f>
        <v>0</v>
      </c>
    </row>
    <row r="46" spans="1:253" ht="12.75">
      <c r="A46" s="4" t="s">
        <v>33</v>
      </c>
      <c r="B46" s="92" t="s">
        <v>87</v>
      </c>
      <c r="C46" s="122" t="s">
        <v>148</v>
      </c>
      <c r="D46" s="123"/>
      <c r="E46" s="123"/>
      <c r="F46" s="123"/>
      <c r="G46" s="123"/>
      <c r="H46" s="12" t="s">
        <v>183</v>
      </c>
      <c r="I46" s="20">
        <f>'Stavební rozpočet'!F47</f>
        <v>1</v>
      </c>
      <c r="J46" s="20"/>
      <c r="K46" s="58"/>
      <c r="L46" s="37"/>
      <c r="HV46" s="12" t="s">
        <v>85</v>
      </c>
      <c r="HW46" s="12" t="s">
        <v>238</v>
      </c>
      <c r="IR46" s="64">
        <f>J46*0.350882629107981</f>
        <v>0</v>
      </c>
      <c r="IS46" s="64">
        <f>J46*(1-0.350882629107981)</f>
        <v>0</v>
      </c>
    </row>
    <row r="47" spans="1:253" ht="12.75">
      <c r="A47" s="6" t="s">
        <v>34</v>
      </c>
      <c r="B47" s="96" t="s">
        <v>88</v>
      </c>
      <c r="C47" s="128" t="s">
        <v>149</v>
      </c>
      <c r="D47" s="129"/>
      <c r="E47" s="129"/>
      <c r="F47" s="129"/>
      <c r="G47" s="129"/>
      <c r="H47" s="14" t="s">
        <v>183</v>
      </c>
      <c r="I47" s="21">
        <f>'Stavební rozpočet'!F48</f>
        <v>1</v>
      </c>
      <c r="J47" s="21"/>
      <c r="K47" s="60"/>
      <c r="L47" s="37"/>
      <c r="HV47" s="14" t="s">
        <v>85</v>
      </c>
      <c r="HW47" s="14" t="s">
        <v>239</v>
      </c>
      <c r="IR47" s="65">
        <f>J47*1</f>
        <v>0</v>
      </c>
      <c r="IS47" s="65">
        <f>J47*(1-1)</f>
        <v>0</v>
      </c>
    </row>
    <row r="48" spans="1:12" ht="12.75" customHeight="1">
      <c r="A48" s="49" t="s">
        <v>6</v>
      </c>
      <c r="B48" s="95" t="s">
        <v>89</v>
      </c>
      <c r="C48" s="124" t="s">
        <v>150</v>
      </c>
      <c r="D48" s="125"/>
      <c r="E48" s="125"/>
      <c r="F48" s="125"/>
      <c r="G48" s="125"/>
      <c r="H48" s="51" t="s">
        <v>6</v>
      </c>
      <c r="I48" s="53" t="s">
        <v>6</v>
      </c>
      <c r="J48" s="53"/>
      <c r="K48" s="59"/>
      <c r="L48" s="37"/>
    </row>
    <row r="49" spans="1:253" ht="12.75">
      <c r="A49" s="4" t="s">
        <v>35</v>
      </c>
      <c r="B49" s="92" t="s">
        <v>90</v>
      </c>
      <c r="C49" s="122" t="s">
        <v>151</v>
      </c>
      <c r="D49" s="123"/>
      <c r="E49" s="123"/>
      <c r="F49" s="123"/>
      <c r="G49" s="123"/>
      <c r="H49" s="12" t="s">
        <v>184</v>
      </c>
      <c r="I49" s="20">
        <f>'Stavební rozpočet'!F50</f>
        <v>623</v>
      </c>
      <c r="J49" s="20"/>
      <c r="K49" s="58"/>
      <c r="L49" s="37"/>
      <c r="HV49" s="12" t="s">
        <v>89</v>
      </c>
      <c r="HW49" s="12" t="s">
        <v>238</v>
      </c>
      <c r="IR49" s="64">
        <f>J49*0.586079295154185</f>
        <v>0</v>
      </c>
      <c r="IS49" s="64">
        <f>J49*(1-0.586079295154185)</f>
        <v>0</v>
      </c>
    </row>
    <row r="50" spans="1:253" ht="12.75">
      <c r="A50" s="4" t="s">
        <v>36</v>
      </c>
      <c r="B50" s="92" t="s">
        <v>91</v>
      </c>
      <c r="C50" s="122" t="s">
        <v>152</v>
      </c>
      <c r="D50" s="123"/>
      <c r="E50" s="123"/>
      <c r="F50" s="123"/>
      <c r="G50" s="123"/>
      <c r="H50" s="12" t="s">
        <v>183</v>
      </c>
      <c r="I50" s="20">
        <f>'Stavební rozpočet'!F51</f>
        <v>3</v>
      </c>
      <c r="J50" s="20"/>
      <c r="K50" s="58"/>
      <c r="L50" s="37"/>
      <c r="HV50" s="12" t="s">
        <v>89</v>
      </c>
      <c r="HW50" s="12" t="s">
        <v>238</v>
      </c>
      <c r="IR50" s="64">
        <f>J50*0.369587560386473</f>
        <v>0</v>
      </c>
      <c r="IS50" s="64">
        <f>J50*(1-0.369587560386473)</f>
        <v>0</v>
      </c>
    </row>
    <row r="51" spans="1:253" ht="12.75">
      <c r="A51" s="4" t="s">
        <v>37</v>
      </c>
      <c r="B51" s="92" t="s">
        <v>92</v>
      </c>
      <c r="C51" s="122" t="s">
        <v>153</v>
      </c>
      <c r="D51" s="123"/>
      <c r="E51" s="123"/>
      <c r="F51" s="123"/>
      <c r="G51" s="123"/>
      <c r="H51" s="12" t="s">
        <v>184</v>
      </c>
      <c r="I51" s="20">
        <f>'Stavební rozpočet'!F52</f>
        <v>623</v>
      </c>
      <c r="J51" s="20"/>
      <c r="K51" s="58"/>
      <c r="L51" s="37"/>
      <c r="HV51" s="12" t="s">
        <v>89</v>
      </c>
      <c r="HW51" s="12" t="s">
        <v>238</v>
      </c>
      <c r="IR51" s="64">
        <f>J51*0.561811965811966</f>
        <v>0</v>
      </c>
      <c r="IS51" s="64">
        <f>J51*(1-0.561811965811966)</f>
        <v>0</v>
      </c>
    </row>
    <row r="52" spans="1:253" ht="12.75">
      <c r="A52" s="6" t="s">
        <v>38</v>
      </c>
      <c r="B52" s="96" t="s">
        <v>93</v>
      </c>
      <c r="C52" s="128" t="s">
        <v>154</v>
      </c>
      <c r="D52" s="129"/>
      <c r="E52" s="129"/>
      <c r="F52" s="129"/>
      <c r="G52" s="129"/>
      <c r="H52" s="14" t="s">
        <v>183</v>
      </c>
      <c r="I52" s="21">
        <f>'Stavební rozpočet'!F53</f>
        <v>24</v>
      </c>
      <c r="J52" s="21"/>
      <c r="K52" s="60"/>
      <c r="L52" s="37"/>
      <c r="HV52" s="14" t="s">
        <v>89</v>
      </c>
      <c r="HW52" s="14" t="s">
        <v>239</v>
      </c>
      <c r="IR52" s="65">
        <f>J52*1</f>
        <v>0</v>
      </c>
      <c r="IS52" s="65">
        <f>J52*(1-1)</f>
        <v>0</v>
      </c>
    </row>
    <row r="53" spans="1:253" ht="12.75">
      <c r="A53" s="6" t="s">
        <v>39</v>
      </c>
      <c r="B53" s="96" t="s">
        <v>94</v>
      </c>
      <c r="C53" s="128" t="s">
        <v>155</v>
      </c>
      <c r="D53" s="129"/>
      <c r="E53" s="129"/>
      <c r="F53" s="129"/>
      <c r="G53" s="129"/>
      <c r="H53" s="14" t="s">
        <v>183</v>
      </c>
      <c r="I53" s="21">
        <f>'Stavební rozpočet'!F54</f>
        <v>510</v>
      </c>
      <c r="J53" s="21"/>
      <c r="K53" s="60"/>
      <c r="L53" s="37"/>
      <c r="HV53" s="14" t="s">
        <v>89</v>
      </c>
      <c r="HW53" s="14" t="s">
        <v>239</v>
      </c>
      <c r="IR53" s="65">
        <f>J53*1</f>
        <v>0</v>
      </c>
      <c r="IS53" s="65">
        <f>J53*(1-1)</f>
        <v>0</v>
      </c>
    </row>
    <row r="54" spans="1:253" ht="12.75">
      <c r="A54" s="6" t="s">
        <v>40</v>
      </c>
      <c r="B54" s="96" t="s">
        <v>95</v>
      </c>
      <c r="C54" s="128" t="s">
        <v>156</v>
      </c>
      <c r="D54" s="129"/>
      <c r="E54" s="129"/>
      <c r="F54" s="129"/>
      <c r="G54" s="129"/>
      <c r="H54" s="14" t="s">
        <v>183</v>
      </c>
      <c r="I54" s="21">
        <f>'Stavební rozpočet'!F55</f>
        <v>26</v>
      </c>
      <c r="J54" s="21"/>
      <c r="K54" s="60"/>
      <c r="L54" s="37"/>
      <c r="HV54" s="14" t="s">
        <v>89</v>
      </c>
      <c r="HW54" s="14" t="s">
        <v>239</v>
      </c>
      <c r="IR54" s="65">
        <f>J54*1</f>
        <v>0</v>
      </c>
      <c r="IS54" s="65">
        <f>J54*(1-1)</f>
        <v>0</v>
      </c>
    </row>
    <row r="55" spans="1:253" ht="12.75">
      <c r="A55" s="6" t="s">
        <v>41</v>
      </c>
      <c r="B55" s="96" t="s">
        <v>96</v>
      </c>
      <c r="C55" s="128" t="s">
        <v>157</v>
      </c>
      <c r="D55" s="129"/>
      <c r="E55" s="129"/>
      <c r="F55" s="129"/>
      <c r="G55" s="129"/>
      <c r="H55" s="14" t="s">
        <v>183</v>
      </c>
      <c r="I55" s="21">
        <f>'Stavební rozpočet'!F56</f>
        <v>51</v>
      </c>
      <c r="J55" s="21"/>
      <c r="K55" s="60"/>
      <c r="L55" s="37"/>
      <c r="HV55" s="14" t="s">
        <v>89</v>
      </c>
      <c r="HW55" s="14" t="s">
        <v>239</v>
      </c>
      <c r="IR55" s="65">
        <f>J55*1</f>
        <v>0</v>
      </c>
      <c r="IS55" s="65">
        <f>J55*(1-1)</f>
        <v>0</v>
      </c>
    </row>
    <row r="56" spans="1:253" ht="12.75">
      <c r="A56" s="4" t="s">
        <v>42</v>
      </c>
      <c r="B56" s="92" t="s">
        <v>97</v>
      </c>
      <c r="C56" s="122" t="s">
        <v>158</v>
      </c>
      <c r="D56" s="123"/>
      <c r="E56" s="123"/>
      <c r="F56" s="123"/>
      <c r="G56" s="123"/>
      <c r="H56" s="12" t="s">
        <v>184</v>
      </c>
      <c r="I56" s="20">
        <f>'Stavební rozpočet'!F57</f>
        <v>419.5</v>
      </c>
      <c r="J56" s="20"/>
      <c r="K56" s="58"/>
      <c r="L56" s="37"/>
      <c r="HV56" s="12" t="s">
        <v>89</v>
      </c>
      <c r="HW56" s="12" t="s">
        <v>238</v>
      </c>
      <c r="IR56" s="64">
        <f>J56*0.575948553054662</f>
        <v>0</v>
      </c>
      <c r="IS56" s="64">
        <f>J56*(1-0.575948553054662)</f>
        <v>0</v>
      </c>
    </row>
    <row r="57" spans="1:253" ht="12.75">
      <c r="A57" s="6" t="s">
        <v>43</v>
      </c>
      <c r="B57" s="96" t="s">
        <v>98</v>
      </c>
      <c r="C57" s="128" t="s">
        <v>159</v>
      </c>
      <c r="D57" s="129"/>
      <c r="E57" s="129"/>
      <c r="F57" s="129"/>
      <c r="G57" s="129"/>
      <c r="H57" s="14" t="s">
        <v>183</v>
      </c>
      <c r="I57" s="21">
        <f>'Stavební rozpočet'!F58</f>
        <v>839</v>
      </c>
      <c r="J57" s="21"/>
      <c r="K57" s="60"/>
      <c r="L57" s="37"/>
      <c r="HV57" s="14" t="s">
        <v>89</v>
      </c>
      <c r="HW57" s="14" t="s">
        <v>239</v>
      </c>
      <c r="IR57" s="65">
        <f>J57*1</f>
        <v>0</v>
      </c>
      <c r="IS57" s="65">
        <f>J57*(1-1)</f>
        <v>0</v>
      </c>
    </row>
    <row r="58" spans="1:253" ht="12.75">
      <c r="A58" s="4" t="s">
        <v>44</v>
      </c>
      <c r="B58" s="92" t="s">
        <v>99</v>
      </c>
      <c r="C58" s="122" t="s">
        <v>160</v>
      </c>
      <c r="D58" s="123"/>
      <c r="E58" s="123"/>
      <c r="F58" s="123"/>
      <c r="G58" s="123"/>
      <c r="H58" s="12" t="s">
        <v>183</v>
      </c>
      <c r="I58" s="20">
        <f>'Stavební rozpočet'!F59</f>
        <v>2</v>
      </c>
      <c r="J58" s="20"/>
      <c r="K58" s="58"/>
      <c r="L58" s="37"/>
      <c r="HV58" s="12" t="s">
        <v>89</v>
      </c>
      <c r="HW58" s="12" t="s">
        <v>238</v>
      </c>
      <c r="IR58" s="64">
        <f>J58*0.637245179063361</f>
        <v>0</v>
      </c>
      <c r="IS58" s="64">
        <f>J58*(1-0.637245179063361)</f>
        <v>0</v>
      </c>
    </row>
    <row r="59" spans="1:253" ht="12.75">
      <c r="A59" s="6" t="s">
        <v>45</v>
      </c>
      <c r="B59" s="96" t="s">
        <v>100</v>
      </c>
      <c r="C59" s="128" t="s">
        <v>161</v>
      </c>
      <c r="D59" s="129"/>
      <c r="E59" s="129"/>
      <c r="F59" s="129"/>
      <c r="G59" s="129"/>
      <c r="H59" s="14" t="s">
        <v>183</v>
      </c>
      <c r="I59" s="21">
        <f>'Stavební rozpočet'!F60</f>
        <v>2</v>
      </c>
      <c r="J59" s="21"/>
      <c r="K59" s="60"/>
      <c r="L59" s="37"/>
      <c r="HV59" s="14" t="s">
        <v>89</v>
      </c>
      <c r="HW59" s="14" t="s">
        <v>239</v>
      </c>
      <c r="IR59" s="65">
        <f>J59*1</f>
        <v>0</v>
      </c>
      <c r="IS59" s="65">
        <f>J59*(1-1)</f>
        <v>0</v>
      </c>
    </row>
    <row r="60" spans="1:253" ht="12.75">
      <c r="A60" s="4" t="s">
        <v>46</v>
      </c>
      <c r="B60" s="92" t="s">
        <v>99</v>
      </c>
      <c r="C60" s="122" t="s">
        <v>162</v>
      </c>
      <c r="D60" s="123"/>
      <c r="E60" s="123"/>
      <c r="F60" s="123"/>
      <c r="G60" s="123"/>
      <c r="H60" s="12" t="s">
        <v>183</v>
      </c>
      <c r="I60" s="20">
        <f>'Stavební rozpočet'!F61</f>
        <v>1</v>
      </c>
      <c r="J60" s="20"/>
      <c r="K60" s="58"/>
      <c r="L60" s="37"/>
      <c r="HV60" s="12" t="s">
        <v>89</v>
      </c>
      <c r="HW60" s="12" t="s">
        <v>238</v>
      </c>
      <c r="IR60" s="64">
        <f>J60*0.637245179063361</f>
        <v>0</v>
      </c>
      <c r="IS60" s="64">
        <f>J60*(1-0.637245179063361)</f>
        <v>0</v>
      </c>
    </row>
    <row r="61" spans="1:253" ht="12.75">
      <c r="A61" s="4" t="s">
        <v>47</v>
      </c>
      <c r="B61" s="92" t="s">
        <v>101</v>
      </c>
      <c r="C61" s="122" t="s">
        <v>163</v>
      </c>
      <c r="D61" s="123"/>
      <c r="E61" s="123"/>
      <c r="F61" s="123"/>
      <c r="G61" s="123"/>
      <c r="H61" s="12" t="s">
        <v>180</v>
      </c>
      <c r="I61" s="20">
        <f>'Stavební rozpočet'!F62</f>
        <v>20</v>
      </c>
      <c r="J61" s="20"/>
      <c r="K61" s="58"/>
      <c r="L61" s="37"/>
      <c r="HV61" s="12" t="s">
        <v>89</v>
      </c>
      <c r="HW61" s="12" t="s">
        <v>238</v>
      </c>
      <c r="IR61" s="64">
        <f>J61*0.398351351351351</f>
        <v>0</v>
      </c>
      <c r="IS61" s="64">
        <f>J61*(1-0.398351351351351)</f>
        <v>0</v>
      </c>
    </row>
    <row r="62" spans="1:253" ht="12.75">
      <c r="A62" s="4" t="s">
        <v>48</v>
      </c>
      <c r="B62" s="92" t="s">
        <v>102</v>
      </c>
      <c r="C62" s="122" t="s">
        <v>164</v>
      </c>
      <c r="D62" s="123"/>
      <c r="E62" s="123"/>
      <c r="F62" s="123"/>
      <c r="G62" s="123"/>
      <c r="H62" s="12" t="s">
        <v>185</v>
      </c>
      <c r="I62" s="20">
        <f>'Stavební rozpočet'!F63</f>
        <v>1</v>
      </c>
      <c r="J62" s="20"/>
      <c r="K62" s="58"/>
      <c r="L62" s="37"/>
      <c r="HV62" s="12" t="s">
        <v>89</v>
      </c>
      <c r="HW62" s="12" t="s">
        <v>238</v>
      </c>
      <c r="IR62" s="64">
        <f>J62*0.958083832335329</f>
        <v>0</v>
      </c>
      <c r="IS62" s="64">
        <f>J62*(1-0.958083832335329)</f>
        <v>0</v>
      </c>
    </row>
    <row r="63" spans="1:253" ht="12.75">
      <c r="A63" s="4" t="s">
        <v>49</v>
      </c>
      <c r="B63" s="97" t="s">
        <v>103</v>
      </c>
      <c r="C63" s="122" t="s">
        <v>296</v>
      </c>
      <c r="D63" s="123"/>
      <c r="E63" s="123"/>
      <c r="F63" s="123"/>
      <c r="G63" s="123"/>
      <c r="H63" s="87" t="s">
        <v>184</v>
      </c>
      <c r="I63" s="20">
        <v>27</v>
      </c>
      <c r="J63" s="20"/>
      <c r="K63" s="58"/>
      <c r="L63" s="37"/>
      <c r="HV63" s="12"/>
      <c r="HW63" s="12"/>
      <c r="IR63" s="64"/>
      <c r="IS63" s="64"/>
    </row>
    <row r="64" spans="1:253" ht="12.75">
      <c r="A64" s="4" t="s">
        <v>50</v>
      </c>
      <c r="B64" s="97" t="s">
        <v>292</v>
      </c>
      <c r="C64" s="122" t="s">
        <v>307</v>
      </c>
      <c r="D64" s="123"/>
      <c r="E64" s="123"/>
      <c r="F64" s="123"/>
      <c r="G64" s="123"/>
      <c r="H64" s="87" t="s">
        <v>184</v>
      </c>
      <c r="I64" s="20">
        <v>27</v>
      </c>
      <c r="J64" s="20"/>
      <c r="K64" s="58"/>
      <c r="L64" s="37"/>
      <c r="HV64" s="12"/>
      <c r="HW64" s="12"/>
      <c r="IR64" s="64"/>
      <c r="IS64" s="64"/>
    </row>
    <row r="65" spans="1:253" ht="12.75" customHeight="1">
      <c r="A65" s="4" t="s">
        <v>51</v>
      </c>
      <c r="B65" s="97" t="s">
        <v>293</v>
      </c>
      <c r="C65" s="122" t="s">
        <v>308</v>
      </c>
      <c r="D65" s="123"/>
      <c r="E65" s="123"/>
      <c r="F65" s="123"/>
      <c r="G65" s="123"/>
      <c r="H65" s="87" t="s">
        <v>184</v>
      </c>
      <c r="I65" s="20">
        <v>27</v>
      </c>
      <c r="J65" s="20"/>
      <c r="K65" s="58"/>
      <c r="L65" s="37"/>
      <c r="HV65" s="12"/>
      <c r="HW65" s="12"/>
      <c r="IR65" s="64"/>
      <c r="IS65" s="64"/>
    </row>
    <row r="66" spans="1:253" ht="12.75" customHeight="1">
      <c r="A66" s="4" t="s">
        <v>52</v>
      </c>
      <c r="B66" s="97" t="s">
        <v>294</v>
      </c>
      <c r="C66" s="122" t="s">
        <v>309</v>
      </c>
      <c r="D66" s="123"/>
      <c r="E66" s="123"/>
      <c r="F66" s="123"/>
      <c r="G66" s="123"/>
      <c r="H66" s="87" t="s">
        <v>184</v>
      </c>
      <c r="I66" s="20">
        <v>19</v>
      </c>
      <c r="J66" s="20"/>
      <c r="K66" s="58"/>
      <c r="L66" s="37"/>
      <c r="HV66" s="12"/>
      <c r="HW66" s="12"/>
      <c r="IR66" s="64"/>
      <c r="IS66" s="64"/>
    </row>
    <row r="67" spans="1:253" ht="12.75" customHeight="1">
      <c r="A67" s="4" t="s">
        <v>53</v>
      </c>
      <c r="B67" s="97" t="s">
        <v>295</v>
      </c>
      <c r="C67" s="122" t="s">
        <v>165</v>
      </c>
      <c r="D67" s="123"/>
      <c r="E67" s="123"/>
      <c r="F67" s="123"/>
      <c r="G67" s="123"/>
      <c r="H67" s="12" t="s">
        <v>185</v>
      </c>
      <c r="I67" s="20">
        <v>1</v>
      </c>
      <c r="J67" s="20"/>
      <c r="K67" s="58"/>
      <c r="L67" s="37"/>
      <c r="HV67" s="12"/>
      <c r="HW67" s="12"/>
      <c r="IR67" s="64"/>
      <c r="IS67" s="64"/>
    </row>
    <row r="68" spans="1:12" ht="12.75">
      <c r="A68" s="164" t="s">
        <v>54</v>
      </c>
      <c r="B68" s="92" t="s">
        <v>105</v>
      </c>
      <c r="C68" s="122" t="s">
        <v>166</v>
      </c>
      <c r="D68" s="123"/>
      <c r="E68" s="123"/>
      <c r="F68" s="123"/>
      <c r="G68" s="123"/>
      <c r="H68" s="12" t="s">
        <v>186</v>
      </c>
      <c r="I68" s="20">
        <f>'Stavební rozpočet'!F69</f>
        <v>1438.0743</v>
      </c>
      <c r="J68" s="20"/>
      <c r="K68" s="58"/>
      <c r="L68" s="37"/>
    </row>
    <row r="69" spans="1:253" ht="12.75">
      <c r="A69" s="4"/>
      <c r="B69" s="95" t="s">
        <v>106</v>
      </c>
      <c r="C69" s="124" t="s">
        <v>167</v>
      </c>
      <c r="D69" s="125"/>
      <c r="E69" s="125"/>
      <c r="F69" s="125"/>
      <c r="G69" s="125"/>
      <c r="H69" s="51" t="s">
        <v>6</v>
      </c>
      <c r="I69" s="53" t="s">
        <v>6</v>
      </c>
      <c r="J69" s="53" t="s">
        <v>6</v>
      </c>
      <c r="K69" s="61"/>
      <c r="L69" s="37"/>
      <c r="HV69" s="12" t="s">
        <v>104</v>
      </c>
      <c r="HW69" s="12" t="s">
        <v>238</v>
      </c>
      <c r="IR69" s="64">
        <f>J68*0</f>
        <v>0</v>
      </c>
      <c r="IS69" s="64">
        <f>J68*(1-0)</f>
        <v>0</v>
      </c>
    </row>
    <row r="70" spans="1:12" ht="12.75">
      <c r="A70" s="165" t="s">
        <v>300</v>
      </c>
      <c r="B70" s="92" t="s">
        <v>107</v>
      </c>
      <c r="C70" s="122" t="s">
        <v>168</v>
      </c>
      <c r="D70" s="123"/>
      <c r="E70" s="123"/>
      <c r="F70" s="123"/>
      <c r="G70" s="123"/>
      <c r="H70" s="12" t="s">
        <v>186</v>
      </c>
      <c r="I70" s="20">
        <f>'Stavební rozpočet'!F71</f>
        <v>97.105</v>
      </c>
      <c r="J70" s="20"/>
      <c r="K70" s="58"/>
      <c r="L70" s="37"/>
    </row>
    <row r="71" spans="1:253" ht="12.75">
      <c r="A71" s="89" t="s">
        <v>301</v>
      </c>
      <c r="B71" s="92" t="s">
        <v>108</v>
      </c>
      <c r="C71" s="122" t="s">
        <v>169</v>
      </c>
      <c r="D71" s="123"/>
      <c r="E71" s="123"/>
      <c r="F71" s="123"/>
      <c r="G71" s="123"/>
      <c r="H71" s="12" t="s">
        <v>186</v>
      </c>
      <c r="I71" s="20">
        <f>'Stavební rozpočet'!F72</f>
        <v>97.105</v>
      </c>
      <c r="J71" s="20"/>
      <c r="K71" s="58"/>
      <c r="L71" s="37"/>
      <c r="HV71" s="12" t="s">
        <v>106</v>
      </c>
      <c r="HW71" s="12" t="s">
        <v>238</v>
      </c>
      <c r="IR71" s="64">
        <f>J70*0</f>
        <v>0</v>
      </c>
      <c r="IS71" s="64">
        <f>J70*(1-0)</f>
        <v>0</v>
      </c>
    </row>
    <row r="72" spans="1:253" ht="12.75">
      <c r="A72" s="89" t="s">
        <v>302</v>
      </c>
      <c r="B72" s="92" t="s">
        <v>109</v>
      </c>
      <c r="C72" s="122" t="s">
        <v>170</v>
      </c>
      <c r="D72" s="123"/>
      <c r="E72" s="123"/>
      <c r="F72" s="123"/>
      <c r="G72" s="123"/>
      <c r="H72" s="12" t="s">
        <v>186</v>
      </c>
      <c r="I72" s="20">
        <f>'Stavební rozpočet'!F73</f>
        <v>97.105</v>
      </c>
      <c r="J72" s="20"/>
      <c r="K72" s="58"/>
      <c r="L72" s="37"/>
      <c r="HV72" s="12" t="s">
        <v>106</v>
      </c>
      <c r="HW72" s="12" t="s">
        <v>238</v>
      </c>
      <c r="IR72" s="64">
        <f>J71*0</f>
        <v>0</v>
      </c>
      <c r="IS72" s="64">
        <f>J71*(1-0)</f>
        <v>0</v>
      </c>
    </row>
    <row r="73" spans="1:253" ht="12.75">
      <c r="A73" s="89" t="s">
        <v>303</v>
      </c>
      <c r="B73" s="92" t="s">
        <v>110</v>
      </c>
      <c r="C73" s="122" t="s">
        <v>171</v>
      </c>
      <c r="D73" s="123"/>
      <c r="E73" s="123"/>
      <c r="F73" s="123"/>
      <c r="G73" s="123"/>
      <c r="H73" s="12" t="s">
        <v>186</v>
      </c>
      <c r="I73" s="20">
        <f>'Stavební rozpočet'!F74</f>
        <v>582.63</v>
      </c>
      <c r="J73" s="20"/>
      <c r="K73" s="58"/>
      <c r="L73" s="37"/>
      <c r="HV73" s="12" t="s">
        <v>106</v>
      </c>
      <c r="HW73" s="12" t="s">
        <v>238</v>
      </c>
      <c r="IR73" s="64">
        <f>J72*0.00974588938714499</f>
        <v>0</v>
      </c>
      <c r="IS73" s="64">
        <f>J72*(1-0.00974588938714499)</f>
        <v>0</v>
      </c>
    </row>
    <row r="74" spans="1:253" ht="12.75">
      <c r="A74" s="89" t="s">
        <v>304</v>
      </c>
      <c r="B74" s="92" t="s">
        <v>111</v>
      </c>
      <c r="C74" s="122" t="s">
        <v>172</v>
      </c>
      <c r="D74" s="123"/>
      <c r="E74" s="123"/>
      <c r="F74" s="123"/>
      <c r="G74" s="123"/>
      <c r="H74" s="12" t="s">
        <v>186</v>
      </c>
      <c r="I74" s="20">
        <f>'Stavební rozpočet'!F75</f>
        <v>89.669</v>
      </c>
      <c r="J74" s="20"/>
      <c r="K74" s="58"/>
      <c r="L74" s="37"/>
      <c r="HV74" s="12" t="s">
        <v>106</v>
      </c>
      <c r="HW74" s="12" t="s">
        <v>238</v>
      </c>
      <c r="IR74" s="64">
        <f>J73*0</f>
        <v>0</v>
      </c>
      <c r="IS74" s="64">
        <f>J73*(1-0)</f>
        <v>0</v>
      </c>
    </row>
    <row r="75" spans="1:253" ht="12.75">
      <c r="A75" s="91" t="s">
        <v>305</v>
      </c>
      <c r="B75" s="98" t="s">
        <v>112</v>
      </c>
      <c r="C75" s="126" t="s">
        <v>173</v>
      </c>
      <c r="D75" s="127"/>
      <c r="E75" s="127"/>
      <c r="F75" s="127"/>
      <c r="G75" s="127"/>
      <c r="H75" s="15" t="s">
        <v>186</v>
      </c>
      <c r="I75" s="22">
        <f>'Stavební rozpočet'!F76</f>
        <v>7.436</v>
      </c>
      <c r="J75" s="22"/>
      <c r="K75" s="62"/>
      <c r="L75" s="37"/>
      <c r="HV75" s="12" t="s">
        <v>106</v>
      </c>
      <c r="HW75" s="12" t="s">
        <v>238</v>
      </c>
      <c r="IR75" s="64">
        <f>J74*0</f>
        <v>0</v>
      </c>
      <c r="IS75" s="64">
        <f>J74*(1-0)</f>
        <v>0</v>
      </c>
    </row>
    <row r="76" spans="1:11" ht="12.75">
      <c r="A76" s="163"/>
      <c r="B76" s="163"/>
      <c r="C76" s="163"/>
      <c r="D76" s="163"/>
      <c r="E76" s="163"/>
      <c r="F76" s="163"/>
      <c r="G76" s="163"/>
      <c r="J76" s="54" t="s">
        <v>197</v>
      </c>
      <c r="K76" s="63"/>
    </row>
  </sheetData>
  <sheetProtection/>
  <mergeCells count="91">
    <mergeCell ref="A1:K1"/>
    <mergeCell ref="A2:B3"/>
    <mergeCell ref="C2:C3"/>
    <mergeCell ref="D2:E3"/>
    <mergeCell ref="F2:F3"/>
    <mergeCell ref="G2:G3"/>
    <mergeCell ref="H2:K3"/>
    <mergeCell ref="A4:B5"/>
    <mergeCell ref="C4:C5"/>
    <mergeCell ref="D4:E5"/>
    <mergeCell ref="F4:F5"/>
    <mergeCell ref="G4:G5"/>
    <mergeCell ref="H4:K5"/>
    <mergeCell ref="A6:B7"/>
    <mergeCell ref="C6:C7"/>
    <mergeCell ref="D6:E7"/>
    <mergeCell ref="F6:F7"/>
    <mergeCell ref="G6:G7"/>
    <mergeCell ref="H6:K7"/>
    <mergeCell ref="A8:B9"/>
    <mergeCell ref="C8:C9"/>
    <mergeCell ref="D8:E9"/>
    <mergeCell ref="F8:F9"/>
    <mergeCell ref="G8:G9"/>
    <mergeCell ref="H8:K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47:G47"/>
    <mergeCell ref="C36:G36"/>
    <mergeCell ref="C37:G37"/>
    <mergeCell ref="C38:G38"/>
    <mergeCell ref="C39:G39"/>
    <mergeCell ref="C40:G40"/>
    <mergeCell ref="C41:G41"/>
    <mergeCell ref="C49:G49"/>
    <mergeCell ref="C50:G50"/>
    <mergeCell ref="C51:G51"/>
    <mergeCell ref="C52:G52"/>
    <mergeCell ref="C53:G53"/>
    <mergeCell ref="C42:G42"/>
    <mergeCell ref="C43:G43"/>
    <mergeCell ref="C44:G44"/>
    <mergeCell ref="C45:G45"/>
    <mergeCell ref="C46:G46"/>
    <mergeCell ref="C68:G68"/>
    <mergeCell ref="C69:G69"/>
    <mergeCell ref="C67:G67"/>
    <mergeCell ref="C54:G54"/>
    <mergeCell ref="C55:G55"/>
    <mergeCell ref="C56:G56"/>
    <mergeCell ref="C57:G57"/>
    <mergeCell ref="C58:G58"/>
    <mergeCell ref="C59:G59"/>
    <mergeCell ref="C70:G70"/>
    <mergeCell ref="C71:G71"/>
    <mergeCell ref="C72:G72"/>
    <mergeCell ref="C73:G73"/>
    <mergeCell ref="C74:G74"/>
    <mergeCell ref="C75:G75"/>
    <mergeCell ref="C22:G22"/>
    <mergeCell ref="C23:G23"/>
    <mergeCell ref="C63:G63"/>
    <mergeCell ref="C64:G64"/>
    <mergeCell ref="C65:G65"/>
    <mergeCell ref="C66:G66"/>
    <mergeCell ref="C60:G60"/>
    <mergeCell ref="C61:G61"/>
    <mergeCell ref="C62:G62"/>
    <mergeCell ref="C48:G48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13" sqref="K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0"/>
      <c r="B1" s="66"/>
      <c r="C1" s="161" t="s">
        <v>258</v>
      </c>
      <c r="D1" s="114"/>
      <c r="E1" s="114"/>
      <c r="F1" s="114"/>
      <c r="G1" s="114"/>
      <c r="H1" s="114"/>
      <c r="I1" s="114"/>
    </row>
    <row r="2" spans="1:10" ht="12.75">
      <c r="A2" s="115" t="s">
        <v>1</v>
      </c>
      <c r="B2" s="116"/>
      <c r="C2" s="117" t="str">
        <f>'Stavební rozpočet'!D2</f>
        <v>Bezbariérové a bezpečné propojení obce pro pěší</v>
      </c>
      <c r="D2" s="103"/>
      <c r="E2" s="120" t="s">
        <v>191</v>
      </c>
      <c r="F2" s="120" t="s">
        <v>310</v>
      </c>
      <c r="G2" s="116"/>
      <c r="H2" s="120" t="s">
        <v>283</v>
      </c>
      <c r="I2" s="162"/>
      <c r="J2" s="37"/>
    </row>
    <row r="3" spans="1:10" ht="12.75">
      <c r="A3" s="112"/>
      <c r="B3" s="105"/>
      <c r="C3" s="118"/>
      <c r="D3" s="118"/>
      <c r="E3" s="105"/>
      <c r="F3" s="105"/>
      <c r="G3" s="105"/>
      <c r="H3" s="105"/>
      <c r="I3" s="110"/>
      <c r="J3" s="37"/>
    </row>
    <row r="4" spans="1:10" ht="12.75">
      <c r="A4" s="106" t="s">
        <v>2</v>
      </c>
      <c r="B4" s="105"/>
      <c r="C4" s="104" t="str">
        <f>'Stavební rozpočet'!D4</f>
        <v>dopravní a technická infrastruktura</v>
      </c>
      <c r="D4" s="105"/>
      <c r="E4" s="104" t="s">
        <v>192</v>
      </c>
      <c r="F4" s="104" t="s">
        <v>311</v>
      </c>
      <c r="G4" s="105"/>
      <c r="H4" s="104" t="s">
        <v>283</v>
      </c>
      <c r="I4" s="160"/>
      <c r="J4" s="37"/>
    </row>
    <row r="5" spans="1:10" ht="12.75">
      <c r="A5" s="112"/>
      <c r="B5" s="105"/>
      <c r="C5" s="105"/>
      <c r="D5" s="105"/>
      <c r="E5" s="105"/>
      <c r="F5" s="105"/>
      <c r="G5" s="105"/>
      <c r="H5" s="105"/>
      <c r="I5" s="110"/>
      <c r="J5" s="37"/>
    </row>
    <row r="6" spans="1:10" ht="12.75">
      <c r="A6" s="106" t="s">
        <v>3</v>
      </c>
      <c r="B6" s="105"/>
      <c r="C6" s="104" t="str">
        <f>'Stavební rozpočet'!D6</f>
        <v>obec Cebiv</v>
      </c>
      <c r="D6" s="105"/>
      <c r="E6" s="104" t="s">
        <v>193</v>
      </c>
      <c r="F6" s="104" t="str">
        <f>'Stavební rozpočet'!I6</f>
        <v> </v>
      </c>
      <c r="G6" s="105"/>
      <c r="H6" s="104" t="s">
        <v>283</v>
      </c>
      <c r="I6" s="160"/>
      <c r="J6" s="37"/>
    </row>
    <row r="7" spans="1:10" ht="12.75">
      <c r="A7" s="112"/>
      <c r="B7" s="105"/>
      <c r="C7" s="105"/>
      <c r="D7" s="105"/>
      <c r="E7" s="105"/>
      <c r="F7" s="105"/>
      <c r="G7" s="105"/>
      <c r="H7" s="105"/>
      <c r="I7" s="110"/>
      <c r="J7" s="37"/>
    </row>
    <row r="8" spans="1:10" ht="12.75">
      <c r="A8" s="106" t="s">
        <v>175</v>
      </c>
      <c r="B8" s="105"/>
      <c r="C8" s="104" t="str">
        <f>'Stavební rozpočet'!G4</f>
        <v>10.03.2021</v>
      </c>
      <c r="D8" s="105"/>
      <c r="E8" s="104" t="s">
        <v>176</v>
      </c>
      <c r="F8" s="104" t="str">
        <f>'Stavební rozpočet'!G6</f>
        <v> </v>
      </c>
      <c r="G8" s="105"/>
      <c r="H8" s="109" t="s">
        <v>284</v>
      </c>
      <c r="I8" s="160" t="s">
        <v>54</v>
      </c>
      <c r="J8" s="37"/>
    </row>
    <row r="9" spans="1:10" ht="12.75">
      <c r="A9" s="112"/>
      <c r="B9" s="105"/>
      <c r="C9" s="105"/>
      <c r="D9" s="105"/>
      <c r="E9" s="105"/>
      <c r="F9" s="105"/>
      <c r="G9" s="105"/>
      <c r="H9" s="105"/>
      <c r="I9" s="110"/>
      <c r="J9" s="37"/>
    </row>
    <row r="10" spans="1:10" ht="12.75">
      <c r="A10" s="106" t="s">
        <v>4</v>
      </c>
      <c r="B10" s="105"/>
      <c r="C10" s="104" t="str">
        <f>'Stavební rozpočet'!D8</f>
        <v> </v>
      </c>
      <c r="D10" s="105"/>
      <c r="E10" s="104" t="s">
        <v>194</v>
      </c>
      <c r="F10" s="104" t="str">
        <f>'Stavební rozpočet'!I8</f>
        <v>p.Kubešová</v>
      </c>
      <c r="G10" s="105"/>
      <c r="H10" s="109" t="s">
        <v>285</v>
      </c>
      <c r="I10" s="159" t="str">
        <f>'Stavební rozpočet'!G8</f>
        <v>10.03.2021</v>
      </c>
      <c r="J10" s="37"/>
    </row>
    <row r="11" spans="1:10" ht="12.75">
      <c r="A11" s="137"/>
      <c r="B11" s="138"/>
      <c r="C11" s="138"/>
      <c r="D11" s="138"/>
      <c r="E11" s="138"/>
      <c r="F11" s="138"/>
      <c r="G11" s="138"/>
      <c r="H11" s="138"/>
      <c r="I11" s="139"/>
      <c r="J11" s="37"/>
    </row>
    <row r="12" spans="1:9" ht="23.25" customHeight="1">
      <c r="A12" s="155" t="s">
        <v>243</v>
      </c>
      <c r="B12" s="156"/>
      <c r="C12" s="156"/>
      <c r="D12" s="156"/>
      <c r="E12" s="156"/>
      <c r="F12" s="156"/>
      <c r="G12" s="156"/>
      <c r="H12" s="156"/>
      <c r="I12" s="156"/>
    </row>
    <row r="13" spans="1:10" ht="26.25" customHeight="1">
      <c r="A13" s="67" t="s">
        <v>244</v>
      </c>
      <c r="B13" s="157" t="s">
        <v>256</v>
      </c>
      <c r="C13" s="158"/>
      <c r="D13" s="67" t="s">
        <v>259</v>
      </c>
      <c r="E13" s="157" t="s">
        <v>268</v>
      </c>
      <c r="F13" s="158"/>
      <c r="G13" s="67" t="s">
        <v>269</v>
      </c>
      <c r="H13" s="157" t="s">
        <v>286</v>
      </c>
      <c r="I13" s="158"/>
      <c r="J13" s="37"/>
    </row>
    <row r="14" spans="1:10" ht="15" customHeight="1">
      <c r="A14" s="68" t="s">
        <v>245</v>
      </c>
      <c r="B14" s="72" t="s">
        <v>257</v>
      </c>
      <c r="C14" s="76"/>
      <c r="D14" s="153" t="s">
        <v>260</v>
      </c>
      <c r="E14" s="154"/>
      <c r="F14" s="76"/>
      <c r="G14" s="153" t="s">
        <v>270</v>
      </c>
      <c r="H14" s="154"/>
      <c r="I14" s="76"/>
      <c r="J14" s="37"/>
    </row>
    <row r="15" spans="1:10" ht="15" customHeight="1">
      <c r="A15" s="69"/>
      <c r="B15" s="72" t="s">
        <v>199</v>
      </c>
      <c r="C15" s="76"/>
      <c r="D15" s="153" t="s">
        <v>261</v>
      </c>
      <c r="E15" s="154"/>
      <c r="F15" s="76"/>
      <c r="G15" s="153" t="s">
        <v>271</v>
      </c>
      <c r="H15" s="154"/>
      <c r="I15" s="76"/>
      <c r="J15" s="37"/>
    </row>
    <row r="16" spans="1:10" ht="15" customHeight="1">
      <c r="A16" s="68" t="s">
        <v>246</v>
      </c>
      <c r="B16" s="72" t="s">
        <v>257</v>
      </c>
      <c r="C16" s="76"/>
      <c r="D16" s="153" t="s">
        <v>262</v>
      </c>
      <c r="E16" s="154"/>
      <c r="F16" s="76"/>
      <c r="G16" s="153" t="s">
        <v>272</v>
      </c>
      <c r="H16" s="154"/>
      <c r="I16" s="76"/>
      <c r="J16" s="37"/>
    </row>
    <row r="17" spans="1:10" ht="15" customHeight="1">
      <c r="A17" s="69"/>
      <c r="B17" s="72" t="s">
        <v>199</v>
      </c>
      <c r="C17" s="76"/>
      <c r="D17" s="153"/>
      <c r="E17" s="154"/>
      <c r="F17" s="77"/>
      <c r="G17" s="153" t="s">
        <v>273</v>
      </c>
      <c r="H17" s="154"/>
      <c r="I17" s="76"/>
      <c r="J17" s="37"/>
    </row>
    <row r="18" spans="1:10" ht="15" customHeight="1">
      <c r="A18" s="68" t="s">
        <v>247</v>
      </c>
      <c r="B18" s="72" t="s">
        <v>257</v>
      </c>
      <c r="C18" s="76"/>
      <c r="D18" s="153"/>
      <c r="E18" s="154"/>
      <c r="F18" s="77"/>
      <c r="G18" s="153" t="s">
        <v>274</v>
      </c>
      <c r="H18" s="154"/>
      <c r="I18" s="76"/>
      <c r="J18" s="37"/>
    </row>
    <row r="19" spans="1:10" ht="15" customHeight="1">
      <c r="A19" s="69"/>
      <c r="B19" s="72" t="s">
        <v>199</v>
      </c>
      <c r="C19" s="76"/>
      <c r="D19" s="153"/>
      <c r="E19" s="154"/>
      <c r="F19" s="77"/>
      <c r="G19" s="153" t="s">
        <v>275</v>
      </c>
      <c r="H19" s="154"/>
      <c r="I19" s="76"/>
      <c r="J19" s="37"/>
    </row>
    <row r="20" spans="1:10" ht="15" customHeight="1">
      <c r="A20" s="151" t="s">
        <v>248</v>
      </c>
      <c r="B20" s="152"/>
      <c r="C20" s="76"/>
      <c r="D20" s="153"/>
      <c r="E20" s="154"/>
      <c r="F20" s="77"/>
      <c r="G20" s="153"/>
      <c r="H20" s="154"/>
      <c r="I20" s="77"/>
      <c r="J20" s="37"/>
    </row>
    <row r="21" spans="1:10" ht="15" customHeight="1">
      <c r="A21" s="151" t="s">
        <v>249</v>
      </c>
      <c r="B21" s="152"/>
      <c r="C21" s="76"/>
      <c r="D21" s="153"/>
      <c r="E21" s="154"/>
      <c r="F21" s="77"/>
      <c r="G21" s="153"/>
      <c r="H21" s="154"/>
      <c r="I21" s="77"/>
      <c r="J21" s="37"/>
    </row>
    <row r="22" spans="1:10" ht="16.5" customHeight="1">
      <c r="A22" s="151" t="s">
        <v>250</v>
      </c>
      <c r="B22" s="152"/>
      <c r="C22" s="76"/>
      <c r="D22" s="151" t="s">
        <v>263</v>
      </c>
      <c r="E22" s="152"/>
      <c r="F22" s="76"/>
      <c r="G22" s="151" t="s">
        <v>276</v>
      </c>
      <c r="H22" s="152"/>
      <c r="I22" s="76"/>
      <c r="J22" s="37"/>
    </row>
    <row r="23" spans="1:10" ht="15" customHeight="1">
      <c r="A23" s="7"/>
      <c r="B23" s="7"/>
      <c r="C23" s="74"/>
      <c r="D23" s="151" t="s">
        <v>264</v>
      </c>
      <c r="E23" s="152"/>
      <c r="F23" s="76"/>
      <c r="G23" s="151" t="s">
        <v>277</v>
      </c>
      <c r="H23" s="152"/>
      <c r="I23" s="76"/>
      <c r="J23" s="37"/>
    </row>
    <row r="24" spans="4:10" ht="15" customHeight="1">
      <c r="D24" s="7"/>
      <c r="E24" s="7"/>
      <c r="F24" s="78"/>
      <c r="G24" s="151" t="s">
        <v>278</v>
      </c>
      <c r="H24" s="152"/>
      <c r="I24" s="76"/>
      <c r="J24" s="37"/>
    </row>
    <row r="25" spans="6:10" ht="15" customHeight="1">
      <c r="F25" s="78"/>
      <c r="G25" s="151" t="s">
        <v>279</v>
      </c>
      <c r="H25" s="152"/>
      <c r="I25" s="76"/>
      <c r="J25" s="37"/>
    </row>
    <row r="26" spans="1:9" ht="12.75">
      <c r="A26" s="66"/>
      <c r="B26" s="66"/>
      <c r="C26" s="66"/>
      <c r="G26" s="7"/>
      <c r="H26" s="7"/>
      <c r="I26" s="7"/>
    </row>
    <row r="27" spans="1:9" ht="15" customHeight="1">
      <c r="A27" s="146" t="s">
        <v>251</v>
      </c>
      <c r="B27" s="147"/>
      <c r="C27" s="79"/>
      <c r="D27" s="75"/>
      <c r="E27" s="66"/>
      <c r="F27" s="66"/>
      <c r="G27" s="66"/>
      <c r="H27" s="66"/>
      <c r="I27" s="66"/>
    </row>
    <row r="28" spans="1:10" ht="15" customHeight="1">
      <c r="A28" s="146" t="s">
        <v>252</v>
      </c>
      <c r="B28" s="147"/>
      <c r="C28" s="79"/>
      <c r="D28" s="146" t="s">
        <v>265</v>
      </c>
      <c r="E28" s="147"/>
      <c r="F28" s="79"/>
      <c r="G28" s="146" t="s">
        <v>280</v>
      </c>
      <c r="H28" s="147"/>
      <c r="I28" s="79"/>
      <c r="J28" s="37"/>
    </row>
    <row r="29" spans="1:10" ht="15" customHeight="1">
      <c r="A29" s="146" t="s">
        <v>253</v>
      </c>
      <c r="B29" s="147"/>
      <c r="C29" s="79"/>
      <c r="D29" s="146" t="s">
        <v>266</v>
      </c>
      <c r="E29" s="147"/>
      <c r="F29" s="79"/>
      <c r="G29" s="146" t="s">
        <v>281</v>
      </c>
      <c r="H29" s="147"/>
      <c r="I29" s="79"/>
      <c r="J29" s="37"/>
    </row>
    <row r="30" spans="1:9" ht="12.75">
      <c r="A30" s="70"/>
      <c r="B30" s="70"/>
      <c r="C30" s="70"/>
      <c r="D30" s="70"/>
      <c r="E30" s="70"/>
      <c r="F30" s="70"/>
      <c r="G30" s="70"/>
      <c r="H30" s="70"/>
      <c r="I30" s="70"/>
    </row>
    <row r="31" spans="1:10" ht="14.25" customHeight="1">
      <c r="A31" s="148" t="s">
        <v>254</v>
      </c>
      <c r="B31" s="149"/>
      <c r="C31" s="150"/>
      <c r="D31" s="148" t="s">
        <v>267</v>
      </c>
      <c r="E31" s="149"/>
      <c r="F31" s="150"/>
      <c r="G31" s="148" t="s">
        <v>282</v>
      </c>
      <c r="H31" s="149"/>
      <c r="I31" s="150"/>
      <c r="J31" s="38"/>
    </row>
    <row r="32" spans="1:10" ht="14.25" customHeight="1">
      <c r="A32" s="140" t="s">
        <v>311</v>
      </c>
      <c r="B32" s="141"/>
      <c r="C32" s="142"/>
      <c r="D32" s="140" t="s">
        <v>310</v>
      </c>
      <c r="E32" s="141"/>
      <c r="F32" s="142"/>
      <c r="G32" s="140"/>
      <c r="H32" s="141"/>
      <c r="I32" s="142"/>
      <c r="J32" s="38"/>
    </row>
    <row r="33" spans="1:10" ht="14.25" customHeight="1">
      <c r="A33" s="140"/>
      <c r="B33" s="141"/>
      <c r="C33" s="142"/>
      <c r="D33" s="140"/>
      <c r="E33" s="141"/>
      <c r="F33" s="142"/>
      <c r="G33" s="140"/>
      <c r="H33" s="141"/>
      <c r="I33" s="142"/>
      <c r="J33" s="38"/>
    </row>
    <row r="34" spans="1:10" ht="14.25" customHeight="1">
      <c r="A34" s="140"/>
      <c r="B34" s="141"/>
      <c r="C34" s="142"/>
      <c r="D34" s="140"/>
      <c r="E34" s="141"/>
      <c r="F34" s="142"/>
      <c r="G34" s="140"/>
      <c r="H34" s="141"/>
      <c r="I34" s="142"/>
      <c r="J34" s="38"/>
    </row>
    <row r="35" spans="1:10" ht="14.25" customHeight="1">
      <c r="A35" s="143" t="s">
        <v>255</v>
      </c>
      <c r="B35" s="144"/>
      <c r="C35" s="145"/>
      <c r="D35" s="143" t="s">
        <v>255</v>
      </c>
      <c r="E35" s="144"/>
      <c r="F35" s="145"/>
      <c r="G35" s="143" t="s">
        <v>255</v>
      </c>
      <c r="H35" s="144"/>
      <c r="I35" s="145"/>
      <c r="J35" s="38"/>
    </row>
    <row r="36" spans="1:9" ht="11.25" customHeight="1">
      <c r="A36" s="71" t="s">
        <v>55</v>
      </c>
      <c r="B36" s="73"/>
      <c r="C36" s="73"/>
      <c r="D36" s="73"/>
      <c r="E36" s="73"/>
      <c r="F36" s="73"/>
      <c r="G36" s="73"/>
      <c r="H36" s="73"/>
      <c r="I36" s="73"/>
    </row>
    <row r="37" spans="1:9" ht="12.75">
      <c r="A37" s="104"/>
      <c r="B37" s="105"/>
      <c r="C37" s="105"/>
      <c r="D37" s="105"/>
      <c r="E37" s="105"/>
      <c r="F37" s="105"/>
      <c r="G37" s="105"/>
      <c r="H37" s="105"/>
      <c r="I37" s="105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Zdeňka Kubešová</cp:lastModifiedBy>
  <dcterms:created xsi:type="dcterms:W3CDTF">2021-03-16T15:09:16Z</dcterms:created>
  <dcterms:modified xsi:type="dcterms:W3CDTF">2021-03-25T16:18:40Z</dcterms:modified>
  <cp:category/>
  <cp:version/>
  <cp:contentType/>
  <cp:contentStatus/>
</cp:coreProperties>
</file>